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2120" windowHeight="8820" tabRatio="934" firstSheet="62" activeTab="69"/>
  </bookViews>
  <sheets>
    <sheet name="First-Page" sheetId="1" r:id="rId1"/>
    <sheet name="Contents"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_" sheetId="29" r:id="rId29"/>
    <sheet name="AT-10 B" sheetId="30" r:id="rId30"/>
    <sheet name="AT-10 C" sheetId="31" r:id="rId31"/>
    <sheet name="AT-10D" sheetId="32" r:id="rId32"/>
    <sheet name="AT-10 E" sheetId="33" r:id="rId33"/>
    <sheet name="AT-10 F Drinking Water" sheetId="34" r:id="rId34"/>
    <sheet name="AT11_KS Year wise" sheetId="35" r:id="rId35"/>
    <sheet name="AT11A_KS-District wise" sheetId="36" r:id="rId36"/>
    <sheet name="AT12_KD-New" sheetId="37" r:id="rId37"/>
    <sheet name="AT12A_KD-Replacement" sheetId="38" r:id="rId38"/>
    <sheet name="Mode of cooking" sheetId="39" r:id="rId39"/>
    <sheet name="AT-14" sheetId="40" r:id="rId40"/>
    <sheet name="AT-14 A" sheetId="41" r:id="rId41"/>
    <sheet name="AT-15" sheetId="42" r:id="rId42"/>
    <sheet name="AT-16" sheetId="43" r:id="rId43"/>
    <sheet name="AT_17_Coverage-RBSK " sheetId="44" r:id="rId44"/>
    <sheet name="AT18_Details_Community " sheetId="45" r:id="rId45"/>
    <sheet name="AT_19_Impl_Agency" sheetId="46" r:id="rId46"/>
    <sheet name="AT_20_CentralCookingagency " sheetId="47" r:id="rId47"/>
    <sheet name="AT-21" sheetId="48" r:id="rId48"/>
    <sheet name="AT-22" sheetId="49" r:id="rId49"/>
    <sheet name="AT-23 MIS (2)" sheetId="50" r:id="rId50"/>
    <sheet name="AT-23A _AMS (2)" sheetId="51" r:id="rId51"/>
    <sheet name="AT-24" sheetId="52" r:id="rId52"/>
    <sheet name="AT-25" sheetId="53" r:id="rId53"/>
    <sheet name="Sheet1 (2)" sheetId="54" r:id="rId54"/>
    <sheet name="AT26_NoWD" sheetId="55" r:id="rId55"/>
    <sheet name="AT26A_NoWD" sheetId="56" r:id="rId56"/>
    <sheet name="AT27_Req_FG_CA_Pry" sheetId="57" r:id="rId57"/>
    <sheet name="AT27A_Req_FG_CA_U Pry " sheetId="58" r:id="rId58"/>
    <sheet name="AT27B_Req_FG_CA_N CLP" sheetId="59" r:id="rId59"/>
    <sheet name="AT27C_Req_FG_Drought -Pry " sheetId="60" r:id="rId60"/>
    <sheet name="AT27D_Req_FG_Drought -UPry " sheetId="61" r:id="rId61"/>
    <sheet name="AT_28_RqmtKitchen" sheetId="62" r:id="rId62"/>
    <sheet name="AT-28A_RqmtPlinthArea" sheetId="63" r:id="rId63"/>
    <sheet name="AT29_K_D" sheetId="64" r:id="rId64"/>
    <sheet name="AT-30_Coook-cum-Helper" sheetId="65" r:id="rId65"/>
    <sheet name="AT_31_Budget_provision " sheetId="66" r:id="rId66"/>
    <sheet name="AT32_Drought Pry Util" sheetId="67" r:id="rId67"/>
    <sheet name="AT-32A Drought UPry Util" sheetId="68" r:id="rId68"/>
    <sheet name="Allocation" sheetId="69" r:id="rId69"/>
    <sheet name="Sheet2" sheetId="70" r:id="rId70"/>
  </sheets>
  <definedNames>
    <definedName name="_xlnm.Print_Area" localSheetId="43">'AT_17_Coverage-RBSK '!$A$1:$L$45</definedName>
    <definedName name="_xlnm.Print_Area" localSheetId="45">'AT_19_Impl_Agency'!$A$1:$J$50</definedName>
    <definedName name="_xlnm.Print_Area" localSheetId="46">'AT_20_CentralCookingagency '!$A$1:$M$44</definedName>
    <definedName name="_xlnm.Print_Area" localSheetId="61">'AT_28_RqmtKitchen'!$A$1:$R$42</definedName>
    <definedName name="_xlnm.Print_Area" localSheetId="5">'AT_2A_fundflow'!$A$1:$V$30</definedName>
    <definedName name="_xlnm.Print_Area" localSheetId="65">'AT_31_Budget_provision '!$A$1:$N$32</definedName>
    <definedName name="_xlnm.Print_Area" localSheetId="29">'AT-10 B'!$A$1:$J$44</definedName>
    <definedName name="_xlnm.Print_Area" localSheetId="30">'AT-10 C'!$A$1:$J$41</definedName>
    <definedName name="_xlnm.Print_Area" localSheetId="32">'AT-10 E'!$A$1:$G$42</definedName>
    <definedName name="_xlnm.Print_Area" localSheetId="33">'AT-10 F Drinking Water'!$A$1:$O$42</definedName>
    <definedName name="_xlnm.Print_Area" localSheetId="27">'AT10_MME'!$A$1:$H$32</definedName>
    <definedName name="_xlnm.Print_Area" localSheetId="28">'AT10A_'!$A$1:$E$43</definedName>
    <definedName name="_xlnm.Print_Area" localSheetId="31">'AT-10D'!$A$1:$H$31</definedName>
    <definedName name="_xlnm.Print_Area" localSheetId="34">'AT11_KS Year wise'!$A$1:$K$32</definedName>
    <definedName name="_xlnm.Print_Area" localSheetId="35">'AT11A_KS-District wise'!$A$1:$K$45</definedName>
    <definedName name="_xlnm.Print_Area" localSheetId="36">'AT12_KD-New'!$A$1:$K$44</definedName>
    <definedName name="_xlnm.Print_Area" localSheetId="37">'AT12A_KD-Replacement'!$A$1:$K$44</definedName>
    <definedName name="_xlnm.Print_Area" localSheetId="39">'AT-14'!$A$1:$N$41</definedName>
    <definedName name="_xlnm.Print_Area" localSheetId="40">'AT-14 A'!$A$1:$H$40</definedName>
    <definedName name="_xlnm.Print_Area" localSheetId="41">'AT-15'!$A$1:$L$41</definedName>
    <definedName name="_xlnm.Print_Area" localSheetId="42">'AT-16'!$A$1:$K$41</definedName>
    <definedName name="_xlnm.Print_Area" localSheetId="44">'AT18_Details_Community '!$A$1:$F$41</definedName>
    <definedName name="_xlnm.Print_Area" localSheetId="3">'AT-1-Gen_Info '!$A$1:$T$55</definedName>
    <definedName name="_xlnm.Print_Area" localSheetId="47">'AT-21'!$A$1:$K$44</definedName>
    <definedName name="_xlnm.Print_Area" localSheetId="48">'AT-22'!$A$1:$O$41</definedName>
    <definedName name="_xlnm.Print_Area" localSheetId="49">'AT-23 MIS (2)'!$A$1:$P$43</definedName>
    <definedName name="_xlnm.Print_Area" localSheetId="50">'AT-23A _AMS (2)'!$A$1:$P$43</definedName>
    <definedName name="_xlnm.Print_Area" localSheetId="51">'AT-24'!$A$1:$M$40</definedName>
    <definedName name="_xlnm.Print_Area" localSheetId="52">'AT-25'!$A$1:$G$50</definedName>
    <definedName name="_xlnm.Print_Area" localSheetId="54">'AT26_NoWD'!$A$1:$L$31</definedName>
    <definedName name="_xlnm.Print_Area" localSheetId="55">'AT26A_NoWD'!$A$1:$K$32</definedName>
    <definedName name="_xlnm.Print_Area" localSheetId="56">'AT27_Req_FG_CA_Pry'!$A$1:$R$45</definedName>
    <definedName name="_xlnm.Print_Area" localSheetId="57">'AT27A_Req_FG_CA_U Pry '!$A$1:$R$44</definedName>
    <definedName name="_xlnm.Print_Area" localSheetId="58">'AT27B_Req_FG_CA_N CLP'!$A$1:$N$44</definedName>
    <definedName name="_xlnm.Print_Area" localSheetId="59">'AT27C_Req_FG_Drought -Pry '!$A$1:$N$44</definedName>
    <definedName name="_xlnm.Print_Area" localSheetId="60">'AT27D_Req_FG_Drought -UPry '!$A$1:$N$44</definedName>
    <definedName name="_xlnm.Print_Area" localSheetId="62">'AT-28A_RqmtPlinthArea'!$A$1:$S$44</definedName>
    <definedName name="_xlnm.Print_Area" localSheetId="63">'AT29_K_D'!$A$1:$AF$44</definedName>
    <definedName name="_xlnm.Print_Area" localSheetId="4">'AT-2-S1 BUDGET'!$A$1:$V$33</definedName>
    <definedName name="_xlnm.Print_Area" localSheetId="6">'AT-3'!$A$1:$H$45</definedName>
    <definedName name="_xlnm.Print_Area" localSheetId="64">'AT-30_Coook-cum-Helper'!$A$1:$L$44</definedName>
    <definedName name="_xlnm.Print_Area" localSheetId="66">'AT32_Drought Pry Util'!$A$1:$L$43</definedName>
    <definedName name="_xlnm.Print_Area" localSheetId="67">'AT-32A Drought UPry Util'!$A$1:$L$43</definedName>
    <definedName name="_xlnm.Print_Area" localSheetId="7">'AT3A_cvrg(Insti)_PY'!$A$1:$N$49</definedName>
    <definedName name="_xlnm.Print_Area" localSheetId="8">'AT3B_cvrg(Insti)_UPY '!$A$1:$N$48</definedName>
    <definedName name="_xlnm.Print_Area" localSheetId="9">'AT3C_cvrg(Insti)_UPY '!$A$1:$N$48</definedName>
    <definedName name="_xlnm.Print_Area" localSheetId="12">'AT-4B'!$A$1:$G$41</definedName>
    <definedName name="_xlnm.Print_Area" localSheetId="24">'AT-8_Hon_CCH_Pry'!$A$1:$V$47</definedName>
    <definedName name="_xlnm.Print_Area" localSheetId="25">'AT-8A_Hon_CCH_UPry'!$A$1:$V$45</definedName>
    <definedName name="_xlnm.Print_Area" localSheetId="26">'AT9_TA'!$A$1:$I$42</definedName>
    <definedName name="_xlnm.Print_Area" localSheetId="1">'Contents'!$A$1:$C$65</definedName>
    <definedName name="_xlnm.Print_Area" localSheetId="10">'enrolment vs availed_PY'!$A$1:$Q$47</definedName>
    <definedName name="_xlnm.Print_Area" localSheetId="11">'enrolment vs availed_UPY'!$A$1:$Q$46</definedName>
    <definedName name="_xlnm.Print_Area" localSheetId="0">'First-Page'!$A$1:$O$30</definedName>
    <definedName name="_xlnm.Print_Area" localSheetId="38">'Mode of cooking'!$A$1:$H$40</definedName>
    <definedName name="_xlnm.Print_Area" localSheetId="2">'Sheet1'!$A$1:$J$24</definedName>
    <definedName name="_xlnm.Print_Area" localSheetId="53">'Sheet1 (2)'!$A$1:$J$24</definedName>
    <definedName name="_xlnm.Print_Area" localSheetId="13">'T5_PLAN_vs_PRFM'!$A$1:$J$42</definedName>
    <definedName name="_xlnm.Print_Area" localSheetId="14">'T5A_PLAN_vs_PRFM '!$A$1:$J$42</definedName>
    <definedName name="_xlnm.Print_Area" localSheetId="15">'T5B_PLAN_vs_PRFM  (2)'!$A$1:$J$42</definedName>
    <definedName name="_xlnm.Print_Area" localSheetId="16">'T5C_Drought_PLAN_vs_PRFM '!$A$1:$J$42</definedName>
    <definedName name="_xlnm.Print_Area" localSheetId="17">'T5D_Drought_PLAN_vs_PRFM  '!$A$1:$J$42</definedName>
    <definedName name="_xlnm.Print_Area" localSheetId="18">'T6_FG_py_Utlsn'!$A$1:$L$43</definedName>
    <definedName name="_xlnm.Print_Area" localSheetId="19">'T6A_FG_Upy_Utlsn '!$A$1:$L$44</definedName>
    <definedName name="_xlnm.Print_Area" localSheetId="20">'T6B_Pay_FG_FCI_Pry'!$A$1:$M$45</definedName>
    <definedName name="_xlnm.Print_Area" localSheetId="21">'T6C_Coarse_Grain'!$A$1:$L$45</definedName>
    <definedName name="_xlnm.Print_Area" localSheetId="22">'T7_CC_PY_Utlsn'!$A$1:$Q$46</definedName>
    <definedName name="_xlnm.Print_Area" localSheetId="23">'T7ACC_UPY_Utlsn '!$A$1:$Q$47</definedName>
  </definedNames>
  <calcPr fullCalcOnLoad="1"/>
</workbook>
</file>

<file path=xl/sharedStrings.xml><?xml version="1.0" encoding="utf-8"?>
<sst xmlns="http://schemas.openxmlformats.org/spreadsheetml/2006/main" count="4516" uniqueCount="1089">
  <si>
    <t>[Mid-Day Meal Scheme]</t>
  </si>
  <si>
    <t>S.No.</t>
  </si>
  <si>
    <t>Name of District</t>
  </si>
  <si>
    <t>No. of  Institutions</t>
  </si>
  <si>
    <t xml:space="preserve">(Govt+LB)Schools </t>
  </si>
  <si>
    <t>GA Schools</t>
  </si>
  <si>
    <t>Govt: Government Schools</t>
  </si>
  <si>
    <t>LB: Local Body Schools</t>
  </si>
  <si>
    <t>GA: Govt Aided Schools</t>
  </si>
  <si>
    <t xml:space="preserve"> </t>
  </si>
  <si>
    <t>(Only in MS-Excel Format)</t>
  </si>
  <si>
    <t xml:space="preserve">No. of children </t>
  </si>
  <si>
    <t>Total no. of meals served</t>
  </si>
  <si>
    <t>Total</t>
  </si>
  <si>
    <t>[Qnty in MTs]</t>
  </si>
  <si>
    <t>Rice</t>
  </si>
  <si>
    <t>[Rs. in lakh]</t>
  </si>
  <si>
    <t>Sl. No.</t>
  </si>
  <si>
    <t>Primary</t>
  </si>
  <si>
    <t>Upper Primary</t>
  </si>
  <si>
    <r>
      <t xml:space="preserve">State/UT: </t>
    </r>
    <r>
      <rPr>
        <b/>
        <u val="single"/>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</si>
  <si>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</si>
  <si>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</si>
  <si>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</si>
  <si>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</si>
  <si>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</si>
  <si>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</si>
  <si>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</si>
  <si>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</si>
  <si>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</si>
  <si>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</si>
  <si>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</si>
  <si>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</si>
  <si>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</si>
  <si>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</si>
  <si>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</si>
  <si>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</si>
  <si>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</si>
  <si>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</si>
  <si>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</si>
  <si>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</si>
  <si>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</si>
  <si>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</si>
  <si>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</si>
  <si>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</si>
  <si>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</si>
  <si>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</si>
  <si>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</si>
  <si>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</si>
  <si>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</si>
  <si>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</si>
  <si>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</si>
  <si>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</si>
  <si>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</si>
  <si>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</si>
  <si>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</si>
  <si>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</si>
  <si>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</si>
  <si>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</si>
  <si>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</si>
  <si>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</si>
  <si>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</si>
  <si>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</si>
  <si>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</si>
  <si>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</si>
  <si>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</si>
  <si>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</si>
  <si>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</si>
  <si>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</si>
  <si>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</si>
  <si>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</si>
  <si>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</si>
  <si>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</si>
  <si>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</si>
  <si>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</si>
  <si>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</si>
  <si>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</si>
  <si>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</si>
  <si>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</si>
  <si>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</si>
  <si>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</si>
  <si>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</si>
  <si>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</si>
  <si>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</si>
  <si>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</si>
  <si>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</si>
  <si>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</si>
  <si>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</si>
  <si>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</si>
  <si>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</si>
  <si>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</si>
  <si>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</si>
  <si>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</si>
  <si>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</si>
  <si>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</si>
  <si>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</si>
  <si>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</si>
  <si>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</si>
  <si>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</si>
  <si>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</si>
  <si>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</si>
  <si>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</si>
  <si>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</si>
  <si>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</si>
  <si>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</si>
  <si>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</si>
  <si>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</si>
  <si>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</si>
  <si>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</si>
  <si>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</si>
  <si>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*Rice</t>
  </si>
  <si>
    <t>*Wheat</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</si>
  <si>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</si>
  <si>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</si>
  <si>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</si>
  <si>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</si>
  <si>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</si>
  <si>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</si>
  <si>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</si>
  <si>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</si>
  <si>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</si>
  <si>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</si>
  <si>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</si>
  <si>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</si>
  <si>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</si>
  <si>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</si>
  <si>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</si>
  <si>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</si>
  <si>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</si>
  <si>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</si>
  <si>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</si>
  <si>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</si>
  <si>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</si>
  <si>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</si>
  <si>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</si>
  <si>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</si>
  <si>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</si>
  <si>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</si>
  <si>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</si>
  <si>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</si>
  <si>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</si>
  <si>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</si>
  <si>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</si>
  <si>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</si>
  <si>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</si>
  <si>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</si>
  <si>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</si>
  <si>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</si>
  <si>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</si>
  <si>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</si>
  <si>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</si>
  <si>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</si>
  <si>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</si>
  <si>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</si>
  <si>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</si>
  <si>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</si>
  <si>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</si>
  <si>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</si>
  <si>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</si>
  <si>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</si>
  <si>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</si>
  <si>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</si>
  <si>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</si>
  <si>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</si>
  <si>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</si>
  <si>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</si>
  <si>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</si>
  <si>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</si>
  <si>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</si>
  <si>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</si>
  <si>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</si>
  <si>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</si>
  <si>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</si>
  <si>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</si>
  <si>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</si>
  <si>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</si>
  <si>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</si>
  <si>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</si>
  <si>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</si>
  <si>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</si>
  <si>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</si>
  <si>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</si>
  <si>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</si>
  <si>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</si>
  <si>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</si>
  <si>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</si>
  <si>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</si>
  <si>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</si>
  <si>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</si>
  <si>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</si>
  <si>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</si>
  <si>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</si>
  <si>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</si>
  <si>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</si>
  <si>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</si>
  <si>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</si>
  <si>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</si>
  <si>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</si>
  <si>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</si>
  <si>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</si>
  <si>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</si>
  <si>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</si>
  <si>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</si>
  <si>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</si>
  <si>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</si>
  <si>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</si>
  <si>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</si>
  <si>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STATE/UT: _________________</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</si>
  <si>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</si>
  <si>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</si>
  <si>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</si>
  <si>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</si>
  <si>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</si>
  <si>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</si>
  <si>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</si>
  <si>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</si>
  <si>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</si>
  <si>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</si>
  <si>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</si>
  <si>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</si>
  <si>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</si>
  <si>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</si>
  <si>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</si>
  <si>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</si>
  <si>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</si>
  <si>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</si>
  <si>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</si>
  <si>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</si>
  <si>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</si>
  <si>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</si>
  <si>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</si>
  <si>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</si>
  <si>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</si>
  <si>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</si>
  <si>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</si>
  <si>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</si>
  <si>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</si>
  <si>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</si>
  <si>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</si>
  <si>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</si>
  <si>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</si>
  <si>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</si>
  <si>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</si>
  <si>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</si>
  <si>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</si>
  <si>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</si>
  <si>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</si>
  <si>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</si>
  <si>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</si>
  <si>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</si>
  <si>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</si>
  <si>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</si>
  <si>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</si>
  <si>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</si>
  <si>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</si>
  <si>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</si>
  <si>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</si>
  <si>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</si>
  <si>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</si>
  <si>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</si>
  <si>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</si>
  <si>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</si>
  <si>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</si>
  <si>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</si>
  <si>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</si>
  <si>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</si>
  <si>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</si>
  <si>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</si>
  <si>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</si>
  <si>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</si>
  <si>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</si>
  <si>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</si>
  <si>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</si>
  <si>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</si>
  <si>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</si>
  <si>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</si>
  <si>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</si>
  <si>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</si>
  <si>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</si>
  <si>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</si>
  <si>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</si>
  <si>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</si>
  <si>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</si>
  <si>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</si>
  <si>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</si>
  <si>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</si>
  <si>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</si>
  <si>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</si>
  <si>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</si>
  <si>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</si>
  <si>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</si>
  <si>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</si>
  <si>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</si>
  <si>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</si>
  <si>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</si>
  <si>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</si>
  <si>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</si>
  <si>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</si>
  <si>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</si>
  <si>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</si>
  <si>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</si>
  <si>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</si>
  <si>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</si>
  <si>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</si>
  <si>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</si>
  <si>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</si>
  <si>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</si>
  <si>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</si>
  <si>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</si>
  <si>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</si>
  <si>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</si>
  <si>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</si>
  <si>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</si>
  <si>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</si>
  <si>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</si>
  <si>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</si>
  <si>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</si>
  <si>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</si>
  <si>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</si>
  <si>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</si>
  <si>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</si>
  <si>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</si>
  <si>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</si>
  <si>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</si>
  <si>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</si>
  <si>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</si>
  <si>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</si>
  <si>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</si>
  <si>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</si>
  <si>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</si>
  <si>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</si>
  <si>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</si>
  <si>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</si>
  <si>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</si>
  <si>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</si>
  <si>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</si>
  <si>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</si>
  <si>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</si>
  <si>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</si>
  <si>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</si>
  <si>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</si>
  <si>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</si>
  <si>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</si>
  <si>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</si>
  <si>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</si>
  <si>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</si>
  <si>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</si>
  <si>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</si>
  <si>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</si>
  <si>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</si>
  <si>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</si>
  <si>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</si>
  <si>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</si>
  <si>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</si>
  <si>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</si>
  <si>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</si>
  <si>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</si>
  <si>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</si>
  <si>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</si>
  <si>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</si>
  <si>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</si>
  <si>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</si>
  <si>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</si>
  <si>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</si>
  <si>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</si>
  <si>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</si>
  <si>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</si>
  <si>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</si>
  <si>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</si>
  <si>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</si>
  <si>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</si>
  <si>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</si>
  <si>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</si>
  <si>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</si>
  <si>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</si>
  <si>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</si>
  <si>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</si>
  <si>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</si>
  <si>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</si>
  <si>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</si>
  <si>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</si>
  <si>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</si>
  <si>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</si>
  <si>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</si>
  <si>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</si>
  <si>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</si>
  <si>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</si>
  <si>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</si>
  <si>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</si>
  <si>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</si>
  <si>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</si>
  <si>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</si>
  <si>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</si>
  <si>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</si>
  <si>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</si>
  <si>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</si>
  <si>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</si>
  <si>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</si>
  <si>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</si>
  <si>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</si>
  <si>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</si>
  <si>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</si>
  <si>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</si>
  <si>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</si>
  <si>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</si>
  <si>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</si>
  <si>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</si>
  <si>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</si>
  <si>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</si>
  <si>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</si>
  <si>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</si>
  <si>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</si>
  <si>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</si>
  <si>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</si>
  <si>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</si>
  <si>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</si>
  <si>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</si>
  <si>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</si>
  <si>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</si>
  <si>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</si>
  <si>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</si>
  <si>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</si>
  <si>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</si>
  <si>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</si>
  <si>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</si>
  <si>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</si>
  <si>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</si>
  <si>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</si>
  <si>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</si>
  <si>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</si>
  <si>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</si>
  <si>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</si>
  <si>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</si>
  <si>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</si>
  <si>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</si>
  <si>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</si>
  <si>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STATE/UT : _________________</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</si>
  <si>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</si>
  <si>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</si>
  <si>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</si>
  <si>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</si>
  <si>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</si>
  <si>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</si>
  <si>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</si>
  <si>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</si>
  <si>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</si>
  <si>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</si>
  <si>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</si>
  <si>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</si>
  <si>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</si>
  <si>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</si>
  <si>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</si>
  <si>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</si>
  <si>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</si>
  <si>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</si>
  <si>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</si>
  <si>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</si>
  <si>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</si>
  <si>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</si>
  <si>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</si>
  <si>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</si>
  <si>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</si>
  <si>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</si>
  <si>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</si>
  <si>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</si>
  <si>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</si>
  <si>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</si>
  <si>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</si>
  <si>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</si>
  <si>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</si>
  <si>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</si>
  <si>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</si>
  <si>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</si>
  <si>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</si>
  <si>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</si>
  <si>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</si>
  <si>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</si>
  <si>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</si>
  <si>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</si>
  <si>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</si>
  <si>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</si>
  <si>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</si>
  <si>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</si>
  <si>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</si>
  <si>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</si>
  <si>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</si>
  <si>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</si>
  <si>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</si>
  <si>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</si>
  <si>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</si>
  <si>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</si>
  <si>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</si>
  <si>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</si>
  <si>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</si>
  <si>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</si>
  <si>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</si>
  <si>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</si>
  <si>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</si>
  <si>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</si>
  <si>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</si>
  <si>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</si>
  <si>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</si>
  <si>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</si>
  <si>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</si>
  <si>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</si>
  <si>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</si>
  <si>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</si>
  <si>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</si>
  <si>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</si>
  <si>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</si>
  <si>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</si>
  <si>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</si>
  <si>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</si>
  <si>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</si>
  <si>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</si>
  <si>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</si>
  <si>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</si>
  <si>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</si>
  <si>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Engaged in 2016-17</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</si>
  <si>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</si>
  <si>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</si>
  <si>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</si>
  <si>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</si>
  <si>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</si>
  <si>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</si>
  <si>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</si>
  <si>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</si>
  <si>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</si>
  <si>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</si>
  <si>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</si>
  <si>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</si>
  <si>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</si>
  <si>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</si>
  <si>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</si>
  <si>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</si>
  <si>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</si>
  <si>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</si>
  <si>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</si>
  <si>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</si>
  <si>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</si>
  <si>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</si>
  <si>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</si>
  <si>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</si>
  <si>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</si>
  <si>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</si>
  <si>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</si>
  <si>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</si>
  <si>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</si>
  <si>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</si>
  <si>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</si>
  <si>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</si>
  <si>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</si>
  <si>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</si>
  <si>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</si>
  <si>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</si>
  <si>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</si>
  <si>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</si>
  <si>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Table AT -10 C :Details of IEC Activities</t>
  </si>
  <si>
    <t>Table - AT - 10 C</t>
  </si>
  <si>
    <t>Table: AT 10 D - Manpower dedicated for MDMS</t>
  </si>
  <si>
    <t>Table-AT- 10D</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</si>
  <si>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</si>
  <si>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</si>
  <si>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</si>
  <si>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</si>
  <si>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</si>
  <si>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</si>
  <si>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</si>
  <si>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</si>
  <si>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</si>
  <si>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</si>
  <si>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</si>
  <si>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</si>
  <si>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</si>
  <si>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</si>
  <si>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</si>
  <si>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</si>
  <si>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</si>
  <si>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</si>
  <si>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</si>
  <si>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</si>
  <si>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</si>
  <si>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</si>
  <si>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</si>
  <si>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</si>
  <si>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</si>
  <si>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</si>
  <si>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</si>
  <si>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</si>
  <si>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</si>
  <si>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</si>
  <si>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</si>
  <si>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</si>
  <si>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</si>
  <si>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</si>
  <si>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</si>
  <si>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</si>
  <si>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</si>
  <si>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</si>
  <si>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</si>
  <si>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</si>
  <si>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</si>
  <si>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</si>
  <si>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</si>
  <si>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</si>
  <si>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</si>
  <si>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</si>
  <si>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</si>
  <si>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</si>
  <si>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</si>
  <si>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</si>
  <si>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</si>
  <si>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</si>
  <si>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</si>
  <si>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</si>
  <si>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</si>
  <si>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</si>
  <si>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</si>
  <si>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</si>
  <si>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</si>
  <si>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</si>
  <si>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</si>
  <si>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</si>
  <si>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</si>
  <si>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</si>
  <si>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</si>
  <si>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</si>
  <si>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</si>
  <si>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</si>
  <si>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</si>
  <si>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</si>
  <si>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</si>
  <si>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</si>
  <si>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Number of School Working Days (Primary,Classes I-V) for 2017-18</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</si>
  <si>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</si>
  <si>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</si>
  <si>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</si>
  <si>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</si>
  <si>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</si>
  <si>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</si>
  <si>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</si>
  <si>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</si>
  <si>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</si>
  <si>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</si>
  <si>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</si>
  <si>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</si>
  <si>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</si>
  <si>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</si>
  <si>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</si>
  <si>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</si>
  <si>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During 01.04.17 to 31.12.2017</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</si>
  <si>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</si>
  <si>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</si>
  <si>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</si>
  <si>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</si>
  <si>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</si>
  <si>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During 01.04.17 to 31.12.17</t>
  </si>
  <si>
    <t>Table: AT-4A: Enrolment vis-a-vis availed for MDM  (Upper Primary, Classes VI - VIII) 2017-18</t>
  </si>
  <si>
    <t>TotalEnrolment (As on 30.09.2017)</t>
  </si>
  <si>
    <t>Table: AT-5:  PAB-MDM Approval vs. PERFORMANCE (Primary, Classes I - V) during 2017-18</t>
  </si>
  <si>
    <t>MDM-PAB Approval for 2017-18</t>
  </si>
  <si>
    <t xml:space="preserve">No. of working days (During 01.04.17 to 31.12.17)                  </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</si>
  <si>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</si>
  <si>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</si>
  <si>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</si>
  <si>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</si>
  <si>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</si>
  <si>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</si>
  <si>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</si>
  <si>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</si>
  <si>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</si>
  <si>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</si>
  <si>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</si>
  <si>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</si>
  <si>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</si>
  <si>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</si>
  <si>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</si>
  <si>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</si>
  <si>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</si>
  <si>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</si>
  <si>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</si>
  <si>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</si>
  <si>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</si>
  <si>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</si>
  <si>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</si>
  <si>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</si>
  <si>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</si>
  <si>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</si>
  <si>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</si>
  <si>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</si>
  <si>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</si>
  <si>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</si>
  <si>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</si>
  <si>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</si>
  <si>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</si>
  <si>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</si>
  <si>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</si>
  <si>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</si>
  <si>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</si>
  <si>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</si>
  <si>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</si>
  <si>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</si>
  <si>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</si>
  <si>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</si>
  <si>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</si>
  <si>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</si>
  <si>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</si>
  <si>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</si>
  <si>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</si>
  <si>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</si>
  <si>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</si>
  <si>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</si>
  <si>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</si>
  <si>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</si>
  <si>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</si>
  <si>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</si>
  <si>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</si>
  <si>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</si>
  <si>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</si>
  <si>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</si>
  <si>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</si>
  <si>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</si>
  <si>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</si>
  <si>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</si>
  <si>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</si>
  <si>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</si>
  <si>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</si>
  <si>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</si>
  <si>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</si>
  <si>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</si>
  <si>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</si>
  <si>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</si>
  <si>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</si>
  <si>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</si>
  <si>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</si>
  <si>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</si>
  <si>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</si>
  <si>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</si>
  <si>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</si>
  <si>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</si>
  <si>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</si>
  <si>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</si>
  <si>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</si>
  <si>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</si>
  <si>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</si>
  <si>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</si>
  <si>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</si>
  <si>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</si>
  <si>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</si>
  <si>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</si>
  <si>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</si>
  <si>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</si>
  <si>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</si>
  <si>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</si>
  <si>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</si>
  <si>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</si>
  <si>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Table - AT - 10 B</t>
  </si>
  <si>
    <t>*Total Sanction during 2012-13 to 2017-18</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</si>
  <si>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</si>
  <si>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</si>
  <si>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</si>
  <si>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</si>
  <si>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</si>
  <si>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</si>
  <si>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District :</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</si>
  <si>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</si>
  <si>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</si>
  <si>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</si>
  <si>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</si>
  <si>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</si>
  <si>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</si>
  <si>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</si>
  <si>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</si>
  <si>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</si>
  <si>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</si>
  <si>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</si>
  <si>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</si>
  <si>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</si>
  <si>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</si>
  <si>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</si>
  <si>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</si>
  <si>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</si>
  <si>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</si>
  <si>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</si>
  <si>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</si>
  <si>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</si>
  <si>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</si>
  <si>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</si>
  <si>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</si>
  <si>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</si>
  <si>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</si>
  <si>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</si>
  <si>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</si>
  <si>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</si>
  <si>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</si>
  <si>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</si>
  <si>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</si>
  <si>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</si>
  <si>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</si>
  <si>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</si>
  <si>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</si>
  <si>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</si>
  <si>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</si>
  <si>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</si>
  <si>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</si>
  <si>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</si>
  <si>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</si>
  <si>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</si>
  <si>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</si>
  <si>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</si>
  <si>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</si>
  <si>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</si>
  <si>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</si>
  <si>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</si>
  <si>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</si>
  <si>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</si>
  <si>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Egg/Seasonal Fruit</t>
  </si>
  <si>
    <t>Rs.4.00</t>
  </si>
  <si>
    <t>3/week i.e. Monday, Wednesday &amp; Friday</t>
  </si>
  <si>
    <t>2017-18, Egg Days</t>
  </si>
  <si>
    <t>2018-19</t>
  </si>
  <si>
    <t>2018-19, Egg Days</t>
  </si>
  <si>
    <t>Budget Provision (Central + State)</t>
  </si>
  <si>
    <t>01.05.2017</t>
  </si>
  <si>
    <t>26.07.2017</t>
  </si>
  <si>
    <t>03.08.2017</t>
  </si>
  <si>
    <t>21.07.2017</t>
  </si>
  <si>
    <t>04.09.2017</t>
  </si>
  <si>
    <t>2nd Instalment (part release)</t>
  </si>
  <si>
    <t>30.11.2017</t>
  </si>
  <si>
    <t>Total-</t>
  </si>
  <si>
    <t>Ranchi</t>
  </si>
  <si>
    <t>Khunti</t>
  </si>
  <si>
    <t>Lohardaga</t>
  </si>
  <si>
    <t>Gumla</t>
  </si>
  <si>
    <t>Simdega</t>
  </si>
  <si>
    <t>East Singhbhum</t>
  </si>
  <si>
    <t>S -Kharsawan</t>
  </si>
  <si>
    <t>W. Singhbhum</t>
  </si>
  <si>
    <t>Palamu</t>
  </si>
  <si>
    <t>Latehar</t>
  </si>
  <si>
    <t>Garhwa</t>
  </si>
  <si>
    <t>Hazaribagh</t>
  </si>
  <si>
    <t>Ramgarh</t>
  </si>
  <si>
    <t>Koderma</t>
  </si>
  <si>
    <t>Chartra</t>
  </si>
  <si>
    <t>Giridih</t>
  </si>
  <si>
    <t>Dhanbad</t>
  </si>
  <si>
    <t>Bokaro</t>
  </si>
  <si>
    <t>Dumka</t>
  </si>
  <si>
    <t>Jamtara</t>
  </si>
  <si>
    <t>Sahebganj</t>
  </si>
  <si>
    <t>Pakur</t>
  </si>
  <si>
    <t>Godda</t>
  </si>
  <si>
    <t>Deoghar</t>
  </si>
  <si>
    <r>
      <t xml:space="preserve">No. of working days </t>
    </r>
    <r>
      <rPr>
        <b/>
        <sz val="11"/>
        <rFont val="Arial"/>
        <family val="2"/>
      </rPr>
      <t xml:space="preserve">(During 01.04.17 to 31.12.17)                  </t>
    </r>
  </si>
  <si>
    <t xml:space="preserve">NOT APPLICABLE </t>
  </si>
  <si>
    <t xml:space="preserve">NOT APPLICABLE  </t>
  </si>
  <si>
    <t>Table: AT-6B: PAYMENT OF COST OF FOOD GRAINS TO FCI (Primary and Upper Primary Classes I-VIII) during 2017-18</t>
  </si>
  <si>
    <t>INCLUDED IN AT-8</t>
  </si>
  <si>
    <t>Total -</t>
  </si>
  <si>
    <t>No enrollment</t>
  </si>
  <si>
    <t>SVS formation under process.</t>
  </si>
  <si>
    <t>4 model school with no enrollment.</t>
  </si>
  <si>
    <t>02.02.2018</t>
  </si>
  <si>
    <t>e-transfer</t>
  </si>
  <si>
    <t>1. SMC
2. Gram Panchayat
3. Panchayat Samiti
4. Zila Parishad</t>
  </si>
  <si>
    <t>1. Social Audit is done at the level of school by a group of SMC and PRI members on monthly basis.
2. MDM has also been kept as a agenda in Panchayat Samiti and Zila Parisad monthly/Bi-monthly review meeting. Issues raised by Panchayat Samiti members and Zila Parishads members are immediately redressed.</t>
  </si>
  <si>
    <t>Y</t>
  </si>
  <si>
    <t>P</t>
  </si>
  <si>
    <t xml:space="preserve"> On Deputation</t>
  </si>
  <si>
    <t>Computer Operator</t>
  </si>
  <si>
    <t xml:space="preserve">In Jharkhand no such lab is notified. However Civil Surgeon on need basis tests the food samples as required. The Quality Test Laboratory accredited by National Accreditation Board is being selected and necessary testing shall be ensured after notifying the Quality test laboratory. </t>
  </si>
  <si>
    <t>No Accredited/ recognised lab</t>
  </si>
  <si>
    <t>NOT APPLICABLE</t>
  </si>
  <si>
    <t>NILL</t>
  </si>
  <si>
    <t>ISKCON</t>
  </si>
  <si>
    <t>20 km</t>
  </si>
  <si>
    <t>16 km</t>
  </si>
  <si>
    <t>BOKARO</t>
  </si>
  <si>
    <t>CHATRA</t>
  </si>
  <si>
    <t>DEOGHAR</t>
  </si>
  <si>
    <t>DHANBAD</t>
  </si>
  <si>
    <t>DUMKA</t>
  </si>
  <si>
    <t>GARHWA</t>
  </si>
  <si>
    <t>GIRIDIH</t>
  </si>
  <si>
    <t>GODDA</t>
  </si>
  <si>
    <t>GUMLA</t>
  </si>
  <si>
    <t>HAZARIBAG</t>
  </si>
  <si>
    <t>JAMTARA</t>
  </si>
  <si>
    <t>KHUNTI</t>
  </si>
  <si>
    <t>KODARMA</t>
  </si>
  <si>
    <t>LATEHAR</t>
  </si>
  <si>
    <t>LOHARDAGA</t>
  </si>
  <si>
    <t>PAKAUR</t>
  </si>
  <si>
    <t>PALAMU</t>
  </si>
  <si>
    <t>PASHCHIMI SINGHBHUM</t>
  </si>
  <si>
    <t>PURBI SINGHBHUM</t>
  </si>
  <si>
    <t>RAMGARH</t>
  </si>
  <si>
    <t>RANCHI</t>
  </si>
  <si>
    <t>SAHIBGANJ</t>
  </si>
  <si>
    <t>SARAIKELA-KHARSAWAN</t>
  </si>
  <si>
    <t>SIMDEGA</t>
  </si>
  <si>
    <t>No Complain of discrimination of any kind in MDMS during 01.04.2017 to 31.12.2017.</t>
  </si>
  <si>
    <t>YES. State MDM Director and State MDM Nodal Officer</t>
  </si>
  <si>
    <t>YES. DSE cum Nodal Officer MDM</t>
  </si>
  <si>
    <t>YES. BEEO cum Nodal Officer MDM</t>
  </si>
  <si>
    <t>YES</t>
  </si>
  <si>
    <t>State MDM Authority</t>
  </si>
  <si>
    <t>YES. District MDM Cell</t>
  </si>
  <si>
    <t>YES. Block MDM Cell</t>
  </si>
  <si>
    <t>ATN on complaints received sent to GoI.</t>
  </si>
  <si>
    <t>Masur</t>
  </si>
  <si>
    <t>Arhar</t>
  </si>
  <si>
    <t>Primary + Upper Primary</t>
  </si>
  <si>
    <t>xxxxxxxxx</t>
  </si>
  <si>
    <t>Engaged in 2017-19</t>
  </si>
  <si>
    <t>11 = 5+6</t>
  </si>
  <si>
    <t>TC</t>
  </si>
  <si>
    <t>COF</t>
  </si>
  <si>
    <t>GOVERNMENT OF JHARKHAND</t>
  </si>
  <si>
    <t>MID DAY MEAL SCHEME</t>
  </si>
  <si>
    <t>JHARKHAND STATE MID DAY MEAL SCHEME</t>
  </si>
  <si>
    <t>Sl.No.</t>
  </si>
  <si>
    <t>Sanctioned no. of cooks</t>
  </si>
  <si>
    <t>Food grains</t>
  </si>
  <si>
    <t>Honorarium</t>
  </si>
  <si>
    <t>NCLP/ STCs</t>
  </si>
  <si>
    <t xml:space="preserve">Central </t>
  </si>
  <si>
    <t>No. of days for which PAB sanctioned</t>
  </si>
  <si>
    <t>Total Amount Admissible</t>
  </si>
  <si>
    <t>Upper Primary + NCLP/STCs</t>
  </si>
  <si>
    <t>(Col.3*254*0.0001)</t>
  </si>
  <si>
    <t>(Col.4*254*0.00015+Col.5*312*0.00015)</t>
  </si>
  <si>
    <t>(Col.3*254*0.00002)</t>
  </si>
  <si>
    <t>(Col.4*254*0.00003+Col.5*312*0.00003)</t>
  </si>
  <si>
    <t>(Col.3*254*2.48)</t>
  </si>
  <si>
    <t>(Col.4*254*3.71+Col.5*312*3.71)</t>
  </si>
  <si>
    <t>(Col.6*10*600)</t>
  </si>
  <si>
    <t>(Col.6*10*900)</t>
  </si>
  <si>
    <t>(Col.8*750 + Col.9*750)</t>
  </si>
  <si>
    <t>(Col.8+Col.9)*3000</t>
  </si>
  <si>
    <t>(1.8% of Col.12+Col.13+Col.14+Col.16+Col.17)</t>
  </si>
  <si>
    <t>Proposal as per district budget</t>
  </si>
  <si>
    <t>Egg/Fruit</t>
  </si>
  <si>
    <t>Demand cooks</t>
  </si>
  <si>
    <t>Demand for Central Share FY 2018-19</t>
  </si>
  <si>
    <t>Table: AT-31 : Budget Provision for the Year 2018-19</t>
  </si>
  <si>
    <t>Total (B) -</t>
  </si>
  <si>
    <t xml:space="preserve">Total (A) - </t>
  </si>
  <si>
    <t>Grand Total (A+B) -</t>
  </si>
  <si>
    <t>2nd instalment (final release)</t>
  </si>
  <si>
    <t>23.03.2018</t>
  </si>
  <si>
    <t>01.01.2018</t>
  </si>
  <si>
    <t>29.03.2018</t>
  </si>
  <si>
    <t>05.03.2018/ 26.03.2018</t>
  </si>
  <si>
    <t>State / UT: Jharkhand</t>
  </si>
  <si>
    <t>Table: AT- 10 F</t>
  </si>
  <si>
    <t>Table AT-10 F: Information on Drinking water facilites</t>
  </si>
  <si>
    <t>During 01.04.17 to 31.03.2018</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</si>
  <si>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</si>
  <si>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</si>
  <si>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</si>
  <si>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</si>
  <si>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</si>
  <si>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</si>
  <si>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</si>
  <si>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</si>
  <si>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</si>
  <si>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</si>
  <si>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</si>
  <si>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</si>
  <si>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</si>
  <si>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</si>
  <si>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</si>
  <si>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Apr, 2017</t>
  </si>
  <si>
    <t>Dec, 2017</t>
  </si>
  <si>
    <t>Jan, 2018</t>
  </si>
  <si>
    <t>Feb</t>
  </si>
  <si>
    <t>Mar</t>
  </si>
  <si>
    <t>(For the Period 01.04.17 to 31.03.18)</t>
  </si>
  <si>
    <t>Budget Released till 31.03.2018</t>
  </si>
  <si>
    <t>43.72.34</t>
  </si>
  <si>
    <t>Yet to be released</t>
  </si>
  <si>
    <t xml:space="preserve"> Transportation Assistance</t>
  </si>
  <si>
    <t>TSP</t>
  </si>
  <si>
    <t>SCSP</t>
  </si>
  <si>
    <t>OSP</t>
  </si>
  <si>
    <t>As on 31st March, 2018</t>
  </si>
  <si>
    <t>(Upendra Kr. Sinha)</t>
  </si>
  <si>
    <t>(Ludi Kumari)</t>
  </si>
  <si>
    <t>Section Officer</t>
  </si>
  <si>
    <t>Deputy Director,</t>
  </si>
  <si>
    <t>Director,</t>
  </si>
  <si>
    <t>Primary Directorate</t>
  </si>
  <si>
    <t>JSMDMA</t>
  </si>
  <si>
    <t>(Shailesh Kumar Chourasia)</t>
  </si>
  <si>
    <t>Deputy Director</t>
  </si>
  <si>
    <t>15.09.2017 /22.09.2017</t>
  </si>
  <si>
    <t>Central Share (8+11-14)</t>
  </si>
  <si>
    <t>State Share (9+12-15)</t>
  </si>
  <si>
    <t>Total (10+13-16)</t>
  </si>
  <si>
    <t>During 01.04.17 to 31.03.18</t>
  </si>
  <si>
    <r>
      <rPr>
        <b/>
        <sz val="7"/>
        <rFont val="Calibri"/>
        <family val="2"/>
      </rPr>
      <t xml:space="preserve">  </t>
    </r>
    <r>
      <rPr>
        <b/>
        <sz val="10"/>
        <rFont val="Calibri"/>
        <family val="2"/>
      </rPr>
      <t>Toll free number</t>
    </r>
  </si>
  <si>
    <r>
      <rPr>
        <b/>
        <sz val="7"/>
        <rFont val="Calibri"/>
        <family val="2"/>
      </rPr>
      <t xml:space="preserve">  </t>
    </r>
    <r>
      <rPr>
        <b/>
        <sz val="10"/>
        <rFont val="Calibri"/>
        <family val="2"/>
      </rPr>
      <t>Dedicated landline number</t>
    </r>
  </si>
  <si>
    <r>
      <rPr>
        <b/>
        <sz val="7"/>
        <rFont val="Calibri"/>
        <family val="2"/>
      </rPr>
      <t xml:space="preserve">  </t>
    </r>
    <r>
      <rPr>
        <b/>
        <sz val="10"/>
        <rFont val="Calibri"/>
        <family val="2"/>
      </rPr>
      <t>Call centre</t>
    </r>
  </si>
  <si>
    <r>
      <rPr>
        <b/>
        <sz val="7"/>
        <rFont val="Calibri"/>
        <family val="2"/>
      </rPr>
      <t xml:space="preserve">  </t>
    </r>
    <r>
      <rPr>
        <b/>
        <sz val="10"/>
        <rFont val="Calibri"/>
        <family val="2"/>
      </rPr>
      <t>Emails</t>
    </r>
  </si>
  <si>
    <r>
      <rPr>
        <b/>
        <sz val="7"/>
        <rFont val="Calibri"/>
        <family val="2"/>
      </rPr>
      <t xml:space="preserve">  </t>
    </r>
    <r>
      <rPr>
        <b/>
        <sz val="10"/>
        <rFont val="Calibri"/>
        <family val="2"/>
      </rPr>
      <t>Press news</t>
    </r>
  </si>
  <si>
    <r>
      <rPr>
        <b/>
        <sz val="7"/>
        <rFont val="Calibri"/>
        <family val="2"/>
      </rPr>
      <t xml:space="preserve">  </t>
    </r>
    <r>
      <rPr>
        <b/>
        <sz val="10"/>
        <rFont val="Calibri"/>
        <family val="2"/>
      </rPr>
      <t>Radio/T.V.</t>
    </r>
  </si>
  <si>
    <r>
      <rPr>
        <b/>
        <sz val="7"/>
        <rFont val="Calibri"/>
        <family val="2"/>
      </rPr>
      <t xml:space="preserve">  </t>
    </r>
    <r>
      <rPr>
        <b/>
        <sz val="10"/>
        <rFont val="Calibri"/>
        <family val="2"/>
      </rPr>
      <t>SMS</t>
    </r>
  </si>
  <si>
    <r>
      <rPr>
        <b/>
        <sz val="7"/>
        <rFont val="Calibri"/>
        <family val="2"/>
      </rPr>
      <t xml:space="preserve">  </t>
    </r>
    <r>
      <rPr>
        <b/>
        <sz val="10"/>
        <rFont val="Calibri"/>
        <family val="2"/>
      </rPr>
      <t>Postal system</t>
    </r>
  </si>
  <si>
    <r>
      <t>No. of working days</t>
    </r>
    <r>
      <rPr>
        <b/>
        <sz val="8"/>
        <rFont val="Arial"/>
        <family val="2"/>
      </rPr>
      <t xml:space="preserve"> </t>
    </r>
    <r>
      <rPr>
        <b/>
        <sz val="10"/>
        <rFont val="Arial"/>
        <family val="2"/>
      </rPr>
      <t xml:space="preserve">             </t>
    </r>
  </si>
  <si>
    <r>
      <t xml:space="preserve">No. of working days </t>
    </r>
    <r>
      <rPr>
        <b/>
        <sz val="8"/>
        <rFont val="Arial"/>
        <family val="2"/>
      </rPr>
      <t xml:space="preserve">   </t>
    </r>
    <r>
      <rPr>
        <b/>
        <sz val="10"/>
        <rFont val="Arial"/>
        <family val="2"/>
      </rPr>
      <t xml:space="preserve">             </t>
    </r>
  </si>
  <si>
    <t>Total Unspent Balance as on 31.03.2018</t>
  </si>
  <si>
    <t xml:space="preserve">Total Unspent Balance as on 31.03.2018                                  </t>
  </si>
  <si>
    <t>Unspent Balance as on 31.03.2018</t>
  </si>
  <si>
    <r>
      <t xml:space="preserve">Unspent Balance as on 31.03.18 [Col. 4+ Col.5+Col.6 -Col.8] </t>
    </r>
    <r>
      <rPr>
        <sz val="10"/>
        <rFont val="Arial"/>
        <family val="2"/>
      </rPr>
      <t xml:space="preserve"> </t>
    </r>
  </si>
  <si>
    <t>Unspent balance as on 31.03.18            [Col: (4+5)-7]</t>
  </si>
  <si>
    <t xml:space="preserve">Annual Work Plan and Budget </t>
  </si>
  <si>
    <t xml:space="preserve">under MME </t>
  </si>
  <si>
    <t>Financial Year 2018-19</t>
  </si>
  <si>
    <r>
      <t>1.</t>
    </r>
    <r>
      <rPr>
        <b/>
        <sz val="7"/>
        <rFont val="Times New Roman"/>
        <family val="1"/>
      </rPr>
      <t xml:space="preserve">           </t>
    </r>
    <r>
      <rPr>
        <b/>
        <sz val="14"/>
        <rFont val="Arial"/>
        <family val="2"/>
      </rPr>
      <t>Proposal for Recurring expenditure for salary of Office staffs       (in lakh Rs.)</t>
    </r>
  </si>
  <si>
    <t>Sl No.</t>
  </si>
  <si>
    <t>Name of post</t>
  </si>
  <si>
    <t>Qualification</t>
  </si>
  <si>
    <t>No. of post</t>
  </si>
  <si>
    <t>Monthly Honorarium (in Lakh) (Fixed)</t>
  </si>
  <si>
    <t>Annual     Honorarium (in Lakh)</t>
  </si>
  <si>
    <t>Type of selection</t>
  </si>
  <si>
    <t>Director, Authority MDM</t>
  </si>
  <si>
    <r>
      <t>I AS</t>
    </r>
    <r>
      <rPr>
        <sz val="10"/>
        <color indexed="8"/>
        <rFont val="Kruti Dev 010"/>
        <family val="0"/>
      </rPr>
      <t>S (</t>
    </r>
    <r>
      <rPr>
        <sz val="13"/>
        <color indexed="8"/>
        <rFont val="Kruti Dev 010"/>
        <family val="0"/>
      </rPr>
      <t>la;qDr lfpo ls U;wu uk gks</t>
    </r>
    <r>
      <rPr>
        <sz val="10"/>
        <color indexed="8"/>
        <rFont val="Kruti Dev 010"/>
        <family val="0"/>
      </rPr>
      <t>)</t>
    </r>
  </si>
  <si>
    <t>vius osrueku eas</t>
  </si>
  <si>
    <t>Deputation</t>
  </si>
  <si>
    <t>Deputy Director (Admn)/</t>
  </si>
  <si>
    <r>
      <t>J A S/J E S (</t>
    </r>
    <r>
      <rPr>
        <sz val="13"/>
        <color indexed="8"/>
        <rFont val="Kruti Dev 040"/>
        <family val="0"/>
      </rPr>
      <t xml:space="preserve">mi </t>
    </r>
    <r>
      <rPr>
        <sz val="14"/>
        <color indexed="8"/>
        <rFont val="Kruti Dev 010"/>
        <family val="0"/>
      </rPr>
      <t>lfpo@mi funs'kd ls U;wu uk gks)</t>
    </r>
  </si>
  <si>
    <t>Under Director Jharkhand State MDM Authority</t>
  </si>
  <si>
    <t>State MIS In charge/ Programmer</t>
  </si>
  <si>
    <t>MBA/MCA</t>
  </si>
  <si>
    <t>Contract</t>
  </si>
  <si>
    <t>Private Secretary / Personal Assistant to Director.</t>
  </si>
  <si>
    <t>Graduate with Stenography and basic knowledge of computer/ Retired experienced govt. official</t>
  </si>
  <si>
    <t>Data entry operator cum Assistant.</t>
  </si>
  <si>
    <t>DCA</t>
  </si>
  <si>
    <t>Accountant-cum-Clerk.</t>
  </si>
  <si>
    <t>B. Com</t>
  </si>
  <si>
    <t>Poen</t>
  </si>
  <si>
    <t>Outsourcing for office work</t>
  </si>
  <si>
    <t>@ 386/- day for 26 days 0.10</t>
  </si>
  <si>
    <t>Outsourcing</t>
  </si>
  <si>
    <t>State Total -</t>
  </si>
  <si>
    <t>District level</t>
  </si>
  <si>
    <t>Under DSE</t>
  </si>
  <si>
    <t>Computer Data entry operator Cum Assistant.</t>
  </si>
  <si>
    <t>District Total -</t>
  </si>
  <si>
    <t>Block level</t>
  </si>
  <si>
    <t>Computer Data entry operator Cum Assistant</t>
  </si>
  <si>
    <t>Block Total -</t>
  </si>
  <si>
    <t>Grand Total -</t>
  </si>
  <si>
    <t>2. Proposal for Recurring expenditure for Management Monitoring and Evaluation of MDM. (in lakh Rs.)</t>
  </si>
  <si>
    <t>Sl.No</t>
  </si>
  <si>
    <t>Levels</t>
  </si>
  <si>
    <t xml:space="preserve">Items </t>
  </si>
  <si>
    <t>No of Units</t>
  </si>
  <si>
    <t>Annual  Expenditure</t>
  </si>
  <si>
    <t>(Recurring)</t>
  </si>
  <si>
    <t xml:space="preserve">Vehicles, Stationery, Seminars, Meetings, documentation and repair maintenance, Monitoring, Telephone etc. </t>
  </si>
  <si>
    <t>Stationery and monitoring.</t>
  </si>
  <si>
    <t>Block</t>
  </si>
  <si>
    <t>Fuel, Stationery, Electricity, Telephone, monitoring etc.</t>
  </si>
  <si>
    <t>264 @ Rs. 1000 per month/block</t>
  </si>
  <si>
    <t>Stationery and SMS.</t>
  </si>
  <si>
    <t>39740 schools @ 200 for stationer and @340/school for SMS</t>
  </si>
  <si>
    <t>Social Audit of MDM</t>
  </si>
  <si>
    <t>600 @ Rs. 10,000 per school/ panchayat</t>
  </si>
  <si>
    <t>Total -</t>
  </si>
  <si>
    <t>2. Proposal for Non-Recurring expenditure for Management Monitoring and Evaluation of MDM (in lakh Rs.)</t>
  </si>
  <si>
    <t>Items</t>
  </si>
  <si>
    <t xml:space="preserve">Annual  Expenditure </t>
  </si>
  <si>
    <t xml:space="preserve">State </t>
  </si>
  <si>
    <t xml:space="preserve">Establishment of State level MDM authority (furniture, fixtures and other equipments). </t>
  </si>
  <si>
    <t xml:space="preserve">1 (one time) </t>
  </si>
  <si>
    <t xml:space="preserve">School </t>
  </si>
  <si>
    <t xml:space="preserve">Apron and Cap for cooks-cum-helpers </t>
  </si>
  <si>
    <t xml:space="preserve">85066 cooks @ 500/ set </t>
  </si>
  <si>
    <t>Summary of MME Budget</t>
  </si>
  <si>
    <t>Manpower for MDM Authority</t>
  </si>
  <si>
    <t>Recurring Expenditure</t>
  </si>
  <si>
    <t>Non-recurring Expenditure</t>
  </si>
  <si>
    <t>Director, JSMDMA.</t>
  </si>
</sst>
</file>

<file path=xl/styles.xml><?xml version="1.0" encoding="utf-8"?>
<styleSheet xmlns="http://schemas.openxmlformats.org/spreadsheetml/2006/main">
  <numFmts count="3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 #,##0_);_(* \(#,##0\);_(* &quot;-&quot;_);_(@_)"/>
    <numFmt numFmtId="170" formatCode="_(&quot;Rs.&quot;* #,##0.00_);_(&quot;Rs.&quot;* \(#,##0.00\);_(&quot;Rs.&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
    <numFmt numFmtId="184" formatCode="0.00000"/>
    <numFmt numFmtId="185" formatCode="0.0000"/>
    <numFmt numFmtId="186" formatCode="_(* #,##0.000_);_(* \(#,##0.000\);_(* &quot;-&quot;??_);_(@_)"/>
    <numFmt numFmtId="187" formatCode="_(* #,##0.0_);_(* \(#,##0.0\);_(* &quot;-&quot;??_);_(@_)"/>
    <numFmt numFmtId="188" formatCode="0.000000"/>
    <numFmt numFmtId="189" formatCode="0.00000000"/>
  </numFmts>
  <fonts count="111">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i/>
      <sz val="11"/>
      <name val="Arial"/>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i/>
      <sz val="12"/>
      <name val="Trebuchet MS"/>
      <family val="2"/>
    </font>
    <font>
      <sz val="36"/>
      <name val="Arial"/>
      <family val="2"/>
    </font>
    <font>
      <sz val="28"/>
      <name val="Arial"/>
      <family val="2"/>
    </font>
    <font>
      <sz val="12"/>
      <name val="Trebuchet MS"/>
      <family val="2"/>
    </font>
    <font>
      <b/>
      <sz val="18"/>
      <name val="Arial"/>
      <family val="2"/>
    </font>
    <font>
      <b/>
      <sz val="12"/>
      <name val="Calibri"/>
      <family val="2"/>
    </font>
    <font>
      <b/>
      <sz val="12"/>
      <name val="Wingdings 2"/>
      <family val="1"/>
    </font>
    <font>
      <b/>
      <sz val="11"/>
      <name val="Calibri"/>
      <family val="2"/>
    </font>
    <font>
      <sz val="12"/>
      <name val="Times New Roman"/>
      <family val="1"/>
    </font>
    <font>
      <sz val="9"/>
      <name val="Arial"/>
      <family val="2"/>
    </font>
    <font>
      <b/>
      <sz val="9"/>
      <name val="Arial"/>
      <family val="2"/>
    </font>
    <font>
      <b/>
      <sz val="11"/>
      <color indexed="8"/>
      <name val="Calibri"/>
      <family val="2"/>
    </font>
    <font>
      <b/>
      <sz val="14"/>
      <color indexed="8"/>
      <name val="Calibri"/>
      <family val="2"/>
    </font>
    <font>
      <sz val="10"/>
      <name val="Calibri"/>
      <family val="2"/>
    </font>
    <font>
      <b/>
      <sz val="10"/>
      <name val="Calibri"/>
      <family val="2"/>
    </font>
    <font>
      <sz val="11"/>
      <name val="Calibri"/>
      <family val="2"/>
    </font>
    <font>
      <b/>
      <u val="single"/>
      <sz val="11"/>
      <color indexed="8"/>
      <name val="Calibri"/>
      <family val="2"/>
    </font>
    <font>
      <b/>
      <sz val="9"/>
      <name val="Trebuchet MS"/>
      <family val="2"/>
    </font>
    <font>
      <b/>
      <u val="single"/>
      <sz val="14"/>
      <name val="Arial"/>
      <family val="2"/>
    </font>
    <font>
      <sz val="12"/>
      <name val="Calibri"/>
      <family val="2"/>
    </font>
    <font>
      <b/>
      <i/>
      <sz val="10"/>
      <name val="Calibri"/>
      <family val="2"/>
    </font>
    <font>
      <b/>
      <sz val="14"/>
      <name val="Calibri"/>
      <family val="2"/>
    </font>
    <font>
      <b/>
      <sz val="7"/>
      <name val="Calibri"/>
      <family val="2"/>
    </font>
    <font>
      <b/>
      <i/>
      <sz val="16"/>
      <name val="Calibri"/>
      <family val="2"/>
    </font>
    <font>
      <b/>
      <sz val="16"/>
      <name val="Calibri"/>
      <family val="2"/>
    </font>
    <font>
      <b/>
      <sz val="11"/>
      <name val="Cambria"/>
      <family val="1"/>
    </font>
    <font>
      <b/>
      <i/>
      <sz val="11"/>
      <name val="Calibri"/>
      <family val="2"/>
    </font>
    <font>
      <b/>
      <i/>
      <sz val="14"/>
      <name val="Calibri"/>
      <family val="2"/>
    </font>
    <font>
      <b/>
      <sz val="10"/>
      <name val="Cambria"/>
      <family val="1"/>
    </font>
    <font>
      <b/>
      <sz val="9"/>
      <name val="Calibri"/>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6"/>
      <name val="Arial"/>
      <family val="2"/>
    </font>
    <font>
      <b/>
      <sz val="7"/>
      <name val="Times New Roman"/>
      <family val="1"/>
    </font>
    <font>
      <b/>
      <sz val="10"/>
      <color indexed="8"/>
      <name val="Times New Roman"/>
      <family val="1"/>
    </font>
    <font>
      <sz val="10"/>
      <color indexed="8"/>
      <name val="Times New Roman"/>
      <family val="1"/>
    </font>
    <font>
      <sz val="10"/>
      <color indexed="8"/>
      <name val="Kruti Dev 010"/>
      <family val="0"/>
    </font>
    <font>
      <sz val="13"/>
      <color indexed="8"/>
      <name val="Kruti Dev 010"/>
      <family val="0"/>
    </font>
    <font>
      <sz val="14"/>
      <color indexed="8"/>
      <name val="Kruti Dev 010"/>
      <family val="0"/>
    </font>
    <font>
      <sz val="13"/>
      <color indexed="8"/>
      <name val="Kruti Dev 040"/>
      <family val="0"/>
    </font>
    <font>
      <sz val="11"/>
      <color indexed="8"/>
      <name val="Arial"/>
      <family val="2"/>
    </font>
    <font>
      <sz val="12"/>
      <color indexed="8"/>
      <name val="Arial"/>
      <family val="2"/>
    </font>
    <font>
      <b/>
      <sz val="11"/>
      <color indexed="8"/>
      <name val="Arial"/>
      <family val="2"/>
    </font>
    <font>
      <sz val="19"/>
      <name val="Times New Roman"/>
      <family val="1"/>
    </font>
    <font>
      <b/>
      <sz val="40"/>
      <name val="Calibri"/>
      <family val="2"/>
    </font>
    <font>
      <b/>
      <sz val="5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Times New Roman"/>
      <family val="1"/>
    </font>
    <font>
      <sz val="10"/>
      <color rgb="FF000000"/>
      <name val="Times New Roman"/>
      <family val="1"/>
    </font>
    <font>
      <sz val="14"/>
      <color rgb="FF000000"/>
      <name val="Kruti Dev 010"/>
      <family val="0"/>
    </font>
    <font>
      <sz val="12"/>
      <color rgb="FF000000"/>
      <name val="Arial"/>
      <family val="2"/>
    </font>
    <font>
      <b/>
      <sz val="11"/>
      <color rgb="FF00000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top/>
      <bottom style="thin"/>
    </border>
    <border>
      <left style="thin"/>
      <right/>
      <top/>
      <bottom/>
    </border>
    <border>
      <left/>
      <right/>
      <top style="thin"/>
      <bottom/>
    </border>
    <border>
      <left style="thin"/>
      <right/>
      <top style="thin"/>
      <bottom/>
    </border>
    <border>
      <left/>
      <right style="thin"/>
      <top style="thin"/>
      <bottom/>
    </border>
    <border>
      <left/>
      <right style="thin"/>
      <top/>
      <bottom style="thin"/>
    </border>
    <border>
      <left/>
      <right style="thin"/>
      <top/>
      <bottom/>
    </border>
    <border>
      <left/>
      <right style="double"/>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color indexed="63"/>
      </left>
      <right style="medium">
        <color rgb="FF000000"/>
      </right>
      <top style="medium"/>
      <bottom style="mediu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86" fillId="0" borderId="0">
      <alignment/>
      <protection/>
    </xf>
    <xf numFmtId="0" fontId="0"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0" fillId="0" borderId="0">
      <alignment/>
      <protection/>
    </xf>
    <xf numFmtId="0" fontId="0" fillId="0" borderId="0">
      <alignment/>
      <protection/>
    </xf>
    <xf numFmtId="0" fontId="8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1095">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2" fillId="0" borderId="0" xfId="0" applyFont="1" applyBorder="1" applyAlignment="1">
      <alignment horizontal="center"/>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10" xfId="0" applyFont="1" applyFill="1" applyBorder="1" applyAlignment="1">
      <alignment horizontal="center" vertical="top" wrapText="1"/>
    </xf>
    <xf numFmtId="0" fontId="0" fillId="0" borderId="0" xfId="0" applyFont="1" applyBorder="1" applyAlignment="1">
      <alignment vertical="top"/>
    </xf>
    <xf numFmtId="0" fontId="2" fillId="0" borderId="0" xfId="0" applyFont="1" applyAlignment="1">
      <alignment/>
    </xf>
    <xf numFmtId="0" fontId="0" fillId="0" borderId="0" xfId="0" applyFont="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16" fillId="0" borderId="11" xfId="0" applyFont="1" applyBorder="1" applyAlignment="1">
      <alignment horizontal="center" vertical="top" wrapText="1"/>
    </xf>
    <xf numFmtId="0" fontId="2" fillId="0" borderId="11" xfId="0" applyFont="1" applyBorder="1" applyAlignment="1">
      <alignment horizontal="center" vertical="top"/>
    </xf>
    <xf numFmtId="0" fontId="16" fillId="0" borderId="0" xfId="0" applyFont="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0" fillId="0" borderId="0" xfId="0" applyFont="1" applyBorder="1" applyAlignment="1" quotePrefix="1">
      <alignment horizontal="center"/>
    </xf>
    <xf numFmtId="0" fontId="86" fillId="0" borderId="0" xfId="62">
      <alignment/>
      <protection/>
    </xf>
    <xf numFmtId="0" fontId="86" fillId="0" borderId="11" xfId="62"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11" fillId="0" borderId="0" xfId="71" applyFont="1" applyAlignment="1">
      <alignment horizontal="center"/>
      <protection/>
    </xf>
    <xf numFmtId="0" fontId="5" fillId="0" borderId="0" xfId="71" applyFont="1" applyAlignment="1">
      <alignment horizontal="center"/>
      <protection/>
    </xf>
    <xf numFmtId="0" fontId="4" fillId="0" borderId="0" xfId="71" applyFont="1">
      <alignment/>
      <protection/>
    </xf>
    <xf numFmtId="0" fontId="2" fillId="0" borderId="11" xfId="71" applyFont="1" applyBorder="1" applyAlignment="1">
      <alignment horizontal="center" vertical="top" wrapText="1"/>
      <protection/>
    </xf>
    <xf numFmtId="0" fontId="2" fillId="0" borderId="13" xfId="71" applyFont="1" applyBorder="1" applyAlignment="1">
      <alignment horizontal="center" vertical="top" wrapText="1"/>
      <protection/>
    </xf>
    <xf numFmtId="0" fontId="2" fillId="0" borderId="14" xfId="71" applyFont="1" applyBorder="1" applyAlignment="1">
      <alignment horizontal="center" vertical="top" wrapText="1"/>
      <protection/>
    </xf>
    <xf numFmtId="0" fontId="2" fillId="0" borderId="0" xfId="71" applyFont="1" applyBorder="1" applyAlignment="1">
      <alignment horizontal="center"/>
      <protection/>
    </xf>
    <xf numFmtId="0" fontId="6" fillId="0" borderId="0" xfId="71" applyFont="1">
      <alignment/>
      <protection/>
    </xf>
    <xf numFmtId="0" fontId="2" fillId="0" borderId="0" xfId="71" applyFont="1">
      <alignment/>
      <protection/>
    </xf>
    <xf numFmtId="0" fontId="3" fillId="0" borderId="0" xfId="71" applyFont="1" applyAlignment="1">
      <alignment/>
      <protection/>
    </xf>
    <xf numFmtId="0" fontId="16" fillId="0" borderId="16" xfId="0" applyFont="1" applyBorder="1" applyAlignment="1">
      <alignment/>
    </xf>
    <xf numFmtId="0" fontId="2" fillId="0" borderId="15" xfId="0" applyFont="1" applyBorder="1" applyAlignment="1">
      <alignment horizontal="center" vertical="top" wrapText="1"/>
    </xf>
    <xf numFmtId="0" fontId="3" fillId="0" borderId="0" xfId="0" applyFont="1" applyAlignment="1">
      <alignment horizontal="center"/>
    </xf>
    <xf numFmtId="0" fontId="2" fillId="0" borderId="17"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2" fillId="0" borderId="18" xfId="0" applyFont="1" applyFill="1" applyBorder="1" applyAlignment="1">
      <alignment horizontal="center" vertical="top" wrapText="1"/>
    </xf>
    <xf numFmtId="0" fontId="16" fillId="0" borderId="0" xfId="0" applyFont="1" applyBorder="1" applyAlignment="1">
      <alignment/>
    </xf>
    <xf numFmtId="0" fontId="86" fillId="0" borderId="11" xfId="62" applyBorder="1" applyAlignment="1">
      <alignment horizontal="center"/>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71" applyFont="1" applyBorder="1">
      <alignment/>
      <protection/>
    </xf>
    <xf numFmtId="0" fontId="6" fillId="0" borderId="0" xfId="0" applyFont="1" applyBorder="1" applyAlignment="1">
      <alignment/>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6" xfId="0" applyFont="1" applyBorder="1" applyAlignment="1">
      <alignment horizontal="center"/>
    </xf>
    <xf numFmtId="0" fontId="0" fillId="0" borderId="0" xfId="0" applyFont="1" applyAlignment="1">
      <alignment horizontal="center"/>
    </xf>
    <xf numFmtId="0" fontId="10" fillId="0" borderId="0" xfId="71" applyFont="1" applyAlignment="1">
      <alignment/>
      <protection/>
    </xf>
    <xf numFmtId="0" fontId="16" fillId="0" borderId="0" xfId="0" applyFont="1" applyBorder="1" applyAlignment="1">
      <alignment horizontal="center"/>
    </xf>
    <xf numFmtId="0" fontId="6" fillId="0" borderId="16" xfId="0" applyFont="1" applyBorder="1" applyAlignment="1">
      <alignment/>
    </xf>
    <xf numFmtId="0" fontId="2" fillId="0" borderId="18" xfId="71" applyFont="1" applyFill="1" applyBorder="1" applyAlignment="1">
      <alignment horizontal="center" vertical="top" wrapText="1"/>
      <protection/>
    </xf>
    <xf numFmtId="0" fontId="6" fillId="0" borderId="0" xfId="71" applyFont="1" applyAlignment="1">
      <alignment vertical="top" wrapText="1"/>
      <protection/>
    </xf>
    <xf numFmtId="0" fontId="13" fillId="0" borderId="0" xfId="0" applyFont="1" applyAlignment="1">
      <alignment horizontal="left"/>
    </xf>
    <xf numFmtId="0" fontId="2" fillId="0" borderId="19" xfId="0" applyFont="1" applyBorder="1" applyAlignment="1">
      <alignment horizontal="center" vertical="top" wrapText="1"/>
    </xf>
    <xf numFmtId="0" fontId="0" fillId="0" borderId="0" xfId="62" applyFont="1">
      <alignment/>
      <protection/>
    </xf>
    <xf numFmtId="0" fontId="2" fillId="0" borderId="11" xfId="62" applyFont="1" applyBorder="1" applyAlignment="1">
      <alignment horizontal="center" vertical="top" wrapText="1"/>
      <protection/>
    </xf>
    <xf numFmtId="0" fontId="0" fillId="0" borderId="11" xfId="62" applyFont="1" applyBorder="1">
      <alignment/>
      <protection/>
    </xf>
    <xf numFmtId="0" fontId="2" fillId="0" borderId="11" xfId="62" applyFont="1" applyBorder="1">
      <alignment/>
      <protection/>
    </xf>
    <xf numFmtId="0" fontId="0" fillId="0" borderId="11" xfId="62" applyFont="1" applyBorder="1" applyAlignment="1">
      <alignment/>
      <protection/>
    </xf>
    <xf numFmtId="0" fontId="16" fillId="0" borderId="11" xfId="62" applyFont="1" applyBorder="1" applyAlignment="1">
      <alignment horizontal="center"/>
      <protection/>
    </xf>
    <xf numFmtId="0" fontId="16" fillId="0" borderId="11" xfId="0" applyFont="1" applyBorder="1" applyAlignment="1">
      <alignment horizontal="center"/>
    </xf>
    <xf numFmtId="0" fontId="0" fillId="0" borderId="11" xfId="0" applyFont="1" applyBorder="1" applyAlignment="1">
      <alignment wrapText="1"/>
    </xf>
    <xf numFmtId="0" fontId="2" fillId="0" borderId="20" xfId="71" applyFont="1" applyFill="1" applyBorder="1" applyAlignment="1">
      <alignment horizontal="center" vertical="top" wrapText="1"/>
      <protection/>
    </xf>
    <xf numFmtId="0" fontId="0" fillId="0" borderId="11" xfId="0" applyFont="1" applyBorder="1" applyAlignment="1">
      <alignment horizontal="center" vertical="center"/>
    </xf>
    <xf numFmtId="0" fontId="2" fillId="0" borderId="0" xfId="0" applyFont="1" applyBorder="1" applyAlignment="1">
      <alignment/>
    </xf>
    <xf numFmtId="0" fontId="14" fillId="0" borderId="0" xfId="0" applyFont="1" applyAlignment="1">
      <alignment horizontal="right" vertical="top" wrapText="1"/>
    </xf>
    <xf numFmtId="0" fontId="6" fillId="0" borderId="0" xfId="0" applyFont="1" applyBorder="1" applyAlignment="1">
      <alignment/>
    </xf>
    <xf numFmtId="0" fontId="14" fillId="0" borderId="0" xfId="0" applyFont="1" applyAlignment="1">
      <alignment horizontal="center"/>
    </xf>
    <xf numFmtId="0" fontId="0" fillId="0" borderId="11" xfId="71" applyFont="1" applyBorder="1" applyAlignment="1">
      <alignment horizontal="center" vertical="top" wrapText="1"/>
      <protection/>
    </xf>
    <xf numFmtId="0" fontId="0" fillId="0" borderId="0" xfId="71" applyFont="1">
      <alignment/>
      <protection/>
    </xf>
    <xf numFmtId="0" fontId="2" fillId="0" borderId="11" xfId="62" applyFont="1" applyBorder="1" applyAlignment="1">
      <alignment horizontal="center"/>
      <protection/>
    </xf>
    <xf numFmtId="0" fontId="2" fillId="0" borderId="11" xfId="0" applyFont="1" applyBorder="1" applyAlignment="1">
      <alignment horizontal="center" vertical="center"/>
    </xf>
    <xf numFmtId="0" fontId="2" fillId="0" borderId="11" xfId="71" applyFont="1" applyBorder="1" applyAlignment="1">
      <alignment horizontal="left" vertical="center" wrapText="1"/>
      <protection/>
    </xf>
    <xf numFmtId="0" fontId="2" fillId="0" borderId="11" xfId="71" applyFont="1" applyBorder="1" applyAlignment="1">
      <alignment horizontal="left" vertical="center"/>
      <protection/>
    </xf>
    <xf numFmtId="0" fontId="6" fillId="0" borderId="0" xfId="72" applyFont="1" applyAlignment="1">
      <alignment/>
      <protection/>
    </xf>
    <xf numFmtId="0" fontId="11" fillId="0" borderId="0" xfId="72" applyFont="1" applyAlignment="1">
      <alignment/>
      <protection/>
    </xf>
    <xf numFmtId="0" fontId="4" fillId="0" borderId="0" xfId="72" applyFont="1">
      <alignment/>
      <protection/>
    </xf>
    <xf numFmtId="0" fontId="16" fillId="0" borderId="11" xfId="72" applyFont="1" applyBorder="1" applyAlignment="1">
      <alignment horizontal="center" vertical="top" wrapText="1"/>
      <protection/>
    </xf>
    <xf numFmtId="0" fontId="16" fillId="0" borderId="0" xfId="72" applyFont="1">
      <alignment/>
      <protection/>
    </xf>
    <xf numFmtId="0" fontId="16" fillId="0" borderId="0" xfId="72" applyFont="1" applyBorder="1">
      <alignment/>
      <protection/>
    </xf>
    <xf numFmtId="0" fontId="2" fillId="0" borderId="0" xfId="72" applyFont="1">
      <alignment/>
      <protection/>
    </xf>
    <xf numFmtId="0" fontId="2" fillId="0" borderId="11" xfId="72" applyFont="1" applyBorder="1" applyAlignment="1">
      <alignment horizontal="center"/>
      <protection/>
    </xf>
    <xf numFmtId="0" fontId="2" fillId="0" borderId="11" xfId="72" applyFont="1" applyBorder="1" applyAlignment="1">
      <alignment horizontal="left"/>
      <protection/>
    </xf>
    <xf numFmtId="0" fontId="2" fillId="0" borderId="11" xfId="72" applyFont="1" applyBorder="1" applyAlignment="1">
      <alignment horizontal="left" wrapText="1"/>
      <protection/>
    </xf>
    <xf numFmtId="0" fontId="3" fillId="0" borderId="0" xfId="73" applyFont="1" applyAlignment="1">
      <alignment horizontal="right"/>
      <protection/>
    </xf>
    <xf numFmtId="0" fontId="4" fillId="0" borderId="0" xfId="73" applyFont="1" applyAlignment="1">
      <alignment horizontal="right"/>
      <protection/>
    </xf>
    <xf numFmtId="0" fontId="14" fillId="0" borderId="11" xfId="73" applyFont="1" applyBorder="1" applyAlignment="1">
      <alignment horizontal="center" vertical="top" wrapText="1"/>
      <protection/>
    </xf>
    <xf numFmtId="0" fontId="14" fillId="0" borderId="11" xfId="73" applyFont="1" applyBorder="1" applyAlignment="1">
      <alignment horizontal="center" vertical="center" wrapText="1"/>
      <protection/>
    </xf>
    <xf numFmtId="0" fontId="12" fillId="0" borderId="11" xfId="73" applyFont="1" applyBorder="1" applyAlignment="1">
      <alignment horizontal="left" vertical="top" wrapText="1"/>
      <protection/>
    </xf>
    <xf numFmtId="0" fontId="12" fillId="0" borderId="0" xfId="73" applyFont="1" applyAlignment="1">
      <alignment horizontal="left"/>
      <protection/>
    </xf>
    <xf numFmtId="0" fontId="20" fillId="0" borderId="0" xfId="0" applyFont="1" applyAlignment="1">
      <alignment horizontal="center"/>
    </xf>
    <xf numFmtId="0" fontId="21" fillId="0" borderId="0" xfId="0" applyFont="1" applyAlignment="1">
      <alignment/>
    </xf>
    <xf numFmtId="0" fontId="22" fillId="0" borderId="0" xfId="0" applyFont="1" applyBorder="1" applyAlignment="1">
      <alignment/>
    </xf>
    <xf numFmtId="0" fontId="22" fillId="0" borderId="10" xfId="0" applyFont="1" applyBorder="1" applyAlignment="1">
      <alignment vertical="top" wrapText="1"/>
    </xf>
    <xf numFmtId="0" fontId="22" fillId="33" borderId="10" xfId="0" applyFont="1" applyFill="1" applyBorder="1" applyAlignment="1">
      <alignment vertical="center" wrapText="1"/>
    </xf>
    <xf numFmtId="0" fontId="23" fillId="0" borderId="11" xfId="0" applyFont="1" applyBorder="1" applyAlignment="1" quotePrefix="1">
      <alignment horizontal="center" vertical="top" wrapText="1"/>
    </xf>
    <xf numFmtId="0" fontId="2" fillId="0" borderId="0" xfId="62" applyFont="1">
      <alignment/>
      <protection/>
    </xf>
    <xf numFmtId="0" fontId="2" fillId="0" borderId="0" xfId="62" applyFont="1" applyAlignment="1">
      <alignment horizontal="center" vertical="top" wrapText="1"/>
      <protection/>
    </xf>
    <xf numFmtId="0" fontId="2" fillId="0" borderId="0" xfId="62" applyFont="1" applyAlignment="1">
      <alignment horizontal="center"/>
      <protection/>
    </xf>
    <xf numFmtId="0" fontId="16" fillId="0" borderId="0" xfId="62" applyFont="1" applyAlignment="1">
      <alignment horizontal="left"/>
      <protection/>
    </xf>
    <xf numFmtId="0" fontId="6" fillId="0" borderId="0" xfId="62" applyFont="1">
      <alignment/>
      <protection/>
    </xf>
    <xf numFmtId="0" fontId="2" fillId="0" borderId="0" xfId="62" applyFont="1" applyAlignment="1">
      <alignment/>
      <protection/>
    </xf>
    <xf numFmtId="0" fontId="2" fillId="0" borderId="16" xfId="62" applyFont="1" applyBorder="1" applyAlignment="1">
      <alignment/>
      <protection/>
    </xf>
    <xf numFmtId="0" fontId="2" fillId="0" borderId="0" xfId="62" applyFont="1" applyBorder="1" applyAlignment="1">
      <alignment/>
      <protection/>
    </xf>
    <xf numFmtId="0" fontId="2" fillId="0" borderId="0" xfId="62" applyFont="1" applyBorder="1">
      <alignment/>
      <protection/>
    </xf>
    <xf numFmtId="0" fontId="2" fillId="0" borderId="0" xfId="62" applyFont="1" applyBorder="1" applyAlignment="1">
      <alignment horizontal="center" vertical="top" wrapText="1"/>
      <protection/>
    </xf>
    <xf numFmtId="0" fontId="14" fillId="0" borderId="0" xfId="62" applyFont="1" applyBorder="1" applyAlignment="1">
      <alignment horizontal="left"/>
      <protection/>
    </xf>
    <xf numFmtId="0" fontId="2" fillId="0" borderId="11" xfId="62" applyFont="1" applyBorder="1" applyAlignment="1">
      <alignment/>
      <protection/>
    </xf>
    <xf numFmtId="0" fontId="12" fillId="0" borderId="0" xfId="62" applyFont="1" applyBorder="1" applyAlignment="1">
      <alignment/>
      <protection/>
    </xf>
    <xf numFmtId="0" fontId="2" fillId="0" borderId="0" xfId="62" applyFont="1" applyAlignment="1">
      <alignment vertical="top" wrapText="1"/>
      <protection/>
    </xf>
    <xf numFmtId="0" fontId="16" fillId="0" borderId="0" xfId="62" applyFont="1">
      <alignment/>
      <protection/>
    </xf>
    <xf numFmtId="0" fontId="14" fillId="0" borderId="0" xfId="62" applyFont="1" applyBorder="1" applyAlignment="1">
      <alignment wrapText="1"/>
      <protection/>
    </xf>
    <xf numFmtId="0" fontId="2" fillId="33" borderId="11" xfId="62" applyFont="1" applyFill="1" applyBorder="1" applyAlignment="1" quotePrefix="1">
      <alignment horizontal="center" vertical="center" wrapText="1"/>
      <protection/>
    </xf>
    <xf numFmtId="0" fontId="16" fillId="33" borderId="12" xfId="62" applyFont="1" applyFill="1" applyBorder="1" applyAlignment="1" quotePrefix="1">
      <alignment horizontal="center" vertical="center" wrapText="1"/>
      <protection/>
    </xf>
    <xf numFmtId="0" fontId="2" fillId="0" borderId="0" xfId="62" applyFont="1" applyBorder="1" applyAlignment="1">
      <alignment horizontal="left" vertical="center"/>
      <protection/>
    </xf>
    <xf numFmtId="0" fontId="2" fillId="0" borderId="11" xfId="62" applyFont="1" applyBorder="1" applyAlignment="1">
      <alignment horizontal="center" vertical="center"/>
      <protection/>
    </xf>
    <xf numFmtId="0" fontId="2" fillId="0" borderId="11" xfId="62" applyFont="1" applyBorder="1" applyAlignment="1">
      <alignment horizontal="left" vertical="center"/>
      <protection/>
    </xf>
    <xf numFmtId="0" fontId="2" fillId="0" borderId="0" xfId="62" applyFont="1" applyAlignment="1">
      <alignment horizontal="left" vertical="center"/>
      <protection/>
    </xf>
    <xf numFmtId="0" fontId="2" fillId="0" borderId="11" xfId="62" applyFont="1" applyBorder="1" applyAlignment="1">
      <alignment horizontal="left"/>
      <protection/>
    </xf>
    <xf numFmtId="0" fontId="19" fillId="0" borderId="0" xfId="0" applyFont="1" applyAlignment="1">
      <alignment/>
    </xf>
    <xf numFmtId="0" fontId="20" fillId="0" borderId="0" xfId="0" applyFont="1" applyAlignment="1">
      <alignment/>
    </xf>
    <xf numFmtId="0" fontId="23" fillId="0" borderId="0" xfId="0" applyFont="1" applyBorder="1" applyAlignment="1">
      <alignment/>
    </xf>
    <xf numFmtId="0" fontId="22" fillId="0" borderId="11"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0" fillId="33" borderId="0" xfId="62" applyFont="1" applyFill="1">
      <alignment/>
      <protection/>
    </xf>
    <xf numFmtId="0" fontId="2" fillId="0" borderId="0" xfId="71" applyFont="1" applyAlignment="1">
      <alignment/>
      <protection/>
    </xf>
    <xf numFmtId="0" fontId="16" fillId="0" borderId="0" xfId="71" applyFont="1" applyAlignment="1">
      <alignment horizontal="right"/>
      <protection/>
    </xf>
    <xf numFmtId="0" fontId="9" fillId="0" borderId="11" xfId="0" applyFont="1" applyBorder="1" applyAlignment="1">
      <alignment horizontal="center"/>
    </xf>
    <xf numFmtId="0" fontId="22" fillId="33" borderId="11" xfId="0" applyFont="1" applyFill="1" applyBorder="1" applyAlignment="1">
      <alignment horizontal="center" vertical="top" wrapText="1"/>
    </xf>
    <xf numFmtId="0" fontId="21" fillId="0" borderId="11" xfId="0" applyFont="1" applyBorder="1" applyAlignment="1" quotePrefix="1">
      <alignment horizontal="center" vertical="top" wrapText="1"/>
    </xf>
    <xf numFmtId="0" fontId="23" fillId="0" borderId="12" xfId="0" applyFont="1" applyBorder="1" applyAlignment="1">
      <alignment horizontal="center" vertical="top" wrapText="1"/>
    </xf>
    <xf numFmtId="0" fontId="2" fillId="0" borderId="0" xfId="0" applyFont="1" applyBorder="1" applyAlignment="1">
      <alignment horizontal="center" vertical="center" wrapText="1"/>
    </xf>
    <xf numFmtId="0" fontId="2" fillId="33" borderId="11" xfId="62" applyFont="1" applyFill="1" applyBorder="1" applyAlignment="1">
      <alignment horizontal="center" vertical="center"/>
      <protection/>
    </xf>
    <xf numFmtId="0" fontId="24" fillId="0" borderId="0" xfId="0" applyFont="1" applyAlignment="1">
      <alignment/>
    </xf>
    <xf numFmtId="0" fontId="14" fillId="0" borderId="0" xfId="0" applyFont="1" applyAlignment="1">
      <alignment/>
    </xf>
    <xf numFmtId="0" fontId="37" fillId="0" borderId="11" xfId="0" applyFont="1" applyBorder="1" applyAlignment="1">
      <alignment/>
    </xf>
    <xf numFmtId="0" fontId="19" fillId="0" borderId="0" xfId="0" applyFont="1" applyAlignment="1">
      <alignment horizontal="center"/>
    </xf>
    <xf numFmtId="0" fontId="22" fillId="0" borderId="10" xfId="0" applyFont="1" applyBorder="1" applyAlignment="1">
      <alignment horizontal="center" vertical="top" wrapText="1"/>
    </xf>
    <xf numFmtId="0" fontId="22" fillId="33" borderId="10" xfId="0" applyFont="1" applyFill="1" applyBorder="1" applyAlignment="1">
      <alignment horizontal="center" vertical="top" wrapText="1"/>
    </xf>
    <xf numFmtId="0" fontId="2" fillId="0" borderId="0" xfId="63" applyFont="1">
      <alignment/>
      <protection/>
    </xf>
    <xf numFmtId="0" fontId="2" fillId="0" borderId="0" xfId="63" applyFont="1" applyAlignment="1">
      <alignment horizontal="center" vertical="top" wrapText="1"/>
      <protection/>
    </xf>
    <xf numFmtId="0" fontId="2" fillId="0" borderId="0" xfId="63" applyFont="1" applyAlignment="1">
      <alignment/>
      <protection/>
    </xf>
    <xf numFmtId="0" fontId="13" fillId="0" borderId="0" xfId="71" applyFont="1" applyAlignment="1">
      <alignment horizontal="left"/>
      <protection/>
    </xf>
    <xf numFmtId="0" fontId="2" fillId="0" borderId="0" xfId="71" applyFont="1" applyAlignment="1">
      <alignment horizontal="center"/>
      <protection/>
    </xf>
    <xf numFmtId="0" fontId="2" fillId="0" borderId="0" xfId="71" applyFont="1" applyAlignment="1">
      <alignment horizontal="left"/>
      <protection/>
    </xf>
    <xf numFmtId="0" fontId="0" fillId="0" borderId="11" xfId="71" applyFont="1" applyBorder="1">
      <alignment/>
      <protection/>
    </xf>
    <xf numFmtId="0" fontId="0" fillId="0" borderId="0" xfId="71" applyFont="1" applyBorder="1">
      <alignment/>
      <protection/>
    </xf>
    <xf numFmtId="0" fontId="0" fillId="0" borderId="11" xfId="71" applyFont="1" applyBorder="1" applyAlignment="1">
      <alignment horizontal="center"/>
      <protection/>
    </xf>
    <xf numFmtId="0" fontId="2" fillId="0" borderId="11" xfId="71" applyFont="1" applyBorder="1">
      <alignment/>
      <protection/>
    </xf>
    <xf numFmtId="0" fontId="37" fillId="0" borderId="11" xfId="0" applyFont="1" applyFill="1" applyBorder="1" applyAlignment="1">
      <alignment/>
    </xf>
    <xf numFmtId="0" fontId="2" fillId="0" borderId="11" xfId="0" applyFont="1" applyBorder="1" applyAlignment="1">
      <alignment horizontal="center" vertical="center" wrapText="1"/>
    </xf>
    <xf numFmtId="0" fontId="2" fillId="0" borderId="11" xfId="71" applyFont="1" applyBorder="1" applyAlignment="1">
      <alignment horizontal="center" vertical="center" wrapText="1"/>
      <protection/>
    </xf>
    <xf numFmtId="2" fontId="2" fillId="0" borderId="11" xfId="0" applyNumberFormat="1" applyFont="1" applyBorder="1" applyAlignment="1">
      <alignment horizontal="center"/>
    </xf>
    <xf numFmtId="2" fontId="14" fillId="0" borderId="0" xfId="0" applyNumberFormat="1" applyFont="1" applyBorder="1" applyAlignment="1">
      <alignment horizontal="center"/>
    </xf>
    <xf numFmtId="2" fontId="2" fillId="0" borderId="11" xfId="0" applyNumberFormat="1" applyFont="1" applyBorder="1" applyAlignment="1">
      <alignment vertical="center"/>
    </xf>
    <xf numFmtId="0" fontId="2" fillId="0" borderId="0" xfId="0" applyFont="1" applyAlignment="1">
      <alignment horizontal="right" vertical="center" wrapText="1"/>
    </xf>
    <xf numFmtId="0" fontId="2" fillId="0" borderId="0" xfId="0" applyFont="1" applyAlignment="1">
      <alignment vertical="center"/>
    </xf>
    <xf numFmtId="0" fontId="2" fillId="0" borderId="12" xfId="0" applyFont="1" applyBorder="1" applyAlignment="1">
      <alignment vertical="center"/>
    </xf>
    <xf numFmtId="0" fontId="16" fillId="0" borderId="0" xfId="0" applyFont="1" applyAlignment="1">
      <alignment horizontal="center" vertical="center" wrapText="1"/>
    </xf>
    <xf numFmtId="0" fontId="16" fillId="0" borderId="0" xfId="0" applyFont="1" applyAlignment="1">
      <alignment vertical="center"/>
    </xf>
    <xf numFmtId="0" fontId="2" fillId="0" borderId="10" xfId="0" applyFont="1" applyBorder="1" applyAlignment="1">
      <alignment horizontal="center" vertical="center" wrapText="1"/>
    </xf>
    <xf numFmtId="182" fontId="0" fillId="0" borderId="11" xfId="0" applyNumberFormat="1" applyFont="1" applyBorder="1" applyAlignment="1">
      <alignment horizontal="right" vertical="center"/>
    </xf>
    <xf numFmtId="182" fontId="0" fillId="0" borderId="11" xfId="0" applyNumberFormat="1" applyFont="1" applyBorder="1" applyAlignment="1">
      <alignment vertical="center"/>
    </xf>
    <xf numFmtId="182" fontId="2" fillId="0" borderId="11" xfId="0" applyNumberFormat="1" applyFont="1" applyBorder="1" applyAlignment="1">
      <alignment vertical="center"/>
    </xf>
    <xf numFmtId="2" fontId="38" fillId="0" borderId="11" xfId="73" applyNumberFormat="1" applyFont="1" applyBorder="1" applyAlignment="1">
      <alignment horizontal="center" vertical="top" wrapText="1"/>
      <protection/>
    </xf>
    <xf numFmtId="0" fontId="38" fillId="0" borderId="11" xfId="73" applyFont="1" applyBorder="1" applyAlignment="1">
      <alignment horizontal="center" vertical="top" wrapText="1"/>
      <protection/>
    </xf>
    <xf numFmtId="0" fontId="37" fillId="0" borderId="11" xfId="73" applyFont="1" applyBorder="1" applyAlignment="1">
      <alignment horizontal="center" vertical="top" wrapText="1"/>
      <protection/>
    </xf>
    <xf numFmtId="0" fontId="22" fillId="0" borderId="10" xfId="0" applyFont="1" applyBorder="1" applyAlignment="1">
      <alignment vertical="center" wrapText="1"/>
    </xf>
    <xf numFmtId="0" fontId="0" fillId="0" borderId="11" xfId="65" applyFont="1" applyFill="1" applyBorder="1" applyAlignment="1">
      <alignment horizontal="left" vertical="center" wrapText="1"/>
      <protection/>
    </xf>
    <xf numFmtId="0" fontId="38" fillId="0" borderId="11" xfId="0" applyFont="1" applyBorder="1" applyAlignment="1">
      <alignment horizontal="center" vertical="top" wrapText="1"/>
    </xf>
    <xf numFmtId="1" fontId="2" fillId="0" borderId="11" xfId="0" applyNumberFormat="1" applyFont="1" applyBorder="1" applyAlignment="1">
      <alignment/>
    </xf>
    <xf numFmtId="0" fontId="2" fillId="0" borderId="11" xfId="73" applyFont="1" applyBorder="1" applyAlignment="1">
      <alignment horizontal="center" vertical="center" wrapText="1"/>
      <protection/>
    </xf>
    <xf numFmtId="2" fontId="0" fillId="0" borderId="11" xfId="0" applyNumberFormat="1" applyFont="1" applyBorder="1" applyAlignment="1">
      <alignment/>
    </xf>
    <xf numFmtId="2" fontId="2" fillId="0" borderId="11" xfId="0" applyNumberFormat="1" applyFont="1" applyBorder="1" applyAlignment="1">
      <alignment/>
    </xf>
    <xf numFmtId="2" fontId="0" fillId="0" borderId="11" xfId="62" applyNumberFormat="1" applyFont="1" applyBorder="1">
      <alignment/>
      <protection/>
    </xf>
    <xf numFmtId="2" fontId="2" fillId="0" borderId="11" xfId="62" applyNumberFormat="1" applyFont="1" applyBorder="1" applyAlignment="1">
      <alignment/>
      <protection/>
    </xf>
    <xf numFmtId="2" fontId="2" fillId="0" borderId="11" xfId="62" applyNumberFormat="1" applyFont="1" applyBorder="1">
      <alignment/>
      <protection/>
    </xf>
    <xf numFmtId="2" fontId="0" fillId="0" borderId="0" xfId="62" applyNumberFormat="1" applyFont="1">
      <alignment/>
      <protection/>
    </xf>
    <xf numFmtId="2" fontId="2" fillId="0" borderId="0" xfId="62" applyNumberFormat="1" applyFont="1">
      <alignment/>
      <protection/>
    </xf>
    <xf numFmtId="0" fontId="0" fillId="0" borderId="0" xfId="62" applyFont="1" applyFill="1">
      <alignment/>
      <protection/>
    </xf>
    <xf numFmtId="0" fontId="5" fillId="0" borderId="0" xfId="62" applyFont="1" applyFill="1" applyAlignment="1">
      <alignment horizontal="center"/>
      <protection/>
    </xf>
    <xf numFmtId="0" fontId="2" fillId="0" borderId="0" xfId="0" applyFont="1" applyFill="1" applyAlignment="1">
      <alignment vertical="top" wrapText="1"/>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Alignment="1">
      <alignment horizontal="center" vertical="center" wrapText="1"/>
    </xf>
    <xf numFmtId="0" fontId="16" fillId="0" borderId="16" xfId="0" applyFont="1" applyBorder="1" applyAlignment="1">
      <alignment horizontal="right"/>
    </xf>
    <xf numFmtId="2" fontId="2" fillId="0" borderId="11" xfId="0" applyNumberFormat="1" applyFont="1" applyBorder="1" applyAlignment="1">
      <alignment horizontal="right"/>
    </xf>
    <xf numFmtId="0" fontId="2" fillId="0" borderId="13" xfId="0" applyFont="1" applyBorder="1" applyAlignment="1">
      <alignment/>
    </xf>
    <xf numFmtId="0" fontId="39" fillId="0" borderId="11" xfId="65" applyFont="1" applyFill="1" applyBorder="1" applyAlignment="1">
      <alignment horizontal="left"/>
      <protection/>
    </xf>
    <xf numFmtId="1" fontId="16" fillId="0" borderId="11" xfId="0" applyNumberFormat="1" applyFont="1" applyBorder="1" applyAlignment="1">
      <alignment horizontal="center"/>
    </xf>
    <xf numFmtId="1" fontId="9" fillId="0" borderId="11" xfId="0" applyNumberFormat="1" applyFont="1" applyBorder="1" applyAlignment="1">
      <alignment horizontal="right"/>
    </xf>
    <xf numFmtId="2" fontId="9" fillId="0" borderId="11" xfId="0" applyNumberFormat="1" applyFont="1" applyBorder="1" applyAlignment="1">
      <alignment horizontal="right"/>
    </xf>
    <xf numFmtId="0" fontId="9" fillId="0" borderId="11" xfId="0" applyFont="1" applyBorder="1" applyAlignment="1">
      <alignment horizontal="right"/>
    </xf>
    <xf numFmtId="1" fontId="16" fillId="0" borderId="11" xfId="0" applyNumberFormat="1" applyFont="1" applyBorder="1" applyAlignment="1">
      <alignment horizontal="right"/>
    </xf>
    <xf numFmtId="2" fontId="16" fillId="0" borderId="11" xfId="0" applyNumberFormat="1" applyFont="1" applyBorder="1" applyAlignment="1">
      <alignment horizontal="right"/>
    </xf>
    <xf numFmtId="0" fontId="9" fillId="0" borderId="11" xfId="74" applyFont="1" applyBorder="1" applyAlignment="1">
      <alignment horizontal="right"/>
      <protection/>
    </xf>
    <xf numFmtId="2" fontId="9" fillId="0" borderId="11" xfId="74" applyNumberFormat="1" applyFont="1" applyBorder="1" applyAlignment="1">
      <alignment horizontal="right"/>
      <protection/>
    </xf>
    <xf numFmtId="1" fontId="9" fillId="0" borderId="11" xfId="74" applyNumberFormat="1" applyFont="1" applyBorder="1" applyAlignment="1">
      <alignment horizontal="right"/>
      <protection/>
    </xf>
    <xf numFmtId="1" fontId="2" fillId="0" borderId="13" xfId="0" applyNumberFormat="1" applyFont="1" applyBorder="1" applyAlignment="1">
      <alignment/>
    </xf>
    <xf numFmtId="1" fontId="0" fillId="0" borderId="0" xfId="0" applyNumberFormat="1" applyFont="1" applyBorder="1" applyAlignment="1">
      <alignment/>
    </xf>
    <xf numFmtId="2" fontId="2" fillId="0" borderId="0" xfId="0" applyNumberFormat="1" applyFont="1" applyAlignment="1">
      <alignment/>
    </xf>
    <xf numFmtId="1" fontId="0" fillId="0" borderId="0" xfId="0" applyNumberFormat="1" applyFont="1" applyAlignment="1">
      <alignment/>
    </xf>
    <xf numFmtId="2" fontId="0" fillId="0" borderId="0" xfId="0" applyNumberFormat="1" applyFont="1" applyAlignment="1">
      <alignment/>
    </xf>
    <xf numFmtId="0" fontId="22" fillId="0" borderId="11" xfId="0" applyFont="1" applyBorder="1" applyAlignment="1">
      <alignment horizontal="center" vertical="center" wrapText="1"/>
    </xf>
    <xf numFmtId="0" fontId="29" fillId="0" borderId="11" xfId="74" applyFont="1" applyBorder="1" applyAlignment="1">
      <alignment horizontal="center" vertical="center" wrapText="1"/>
      <protection/>
    </xf>
    <xf numFmtId="0" fontId="30" fillId="0" borderId="11" xfId="74" applyFont="1" applyBorder="1" applyAlignment="1">
      <alignment horizontal="center" vertical="center" wrapText="1"/>
      <protection/>
    </xf>
    <xf numFmtId="0" fontId="29" fillId="0" borderId="11" xfId="74" applyFont="1" applyBorder="1" applyAlignment="1" quotePrefix="1">
      <alignment horizontal="center" vertical="center" wrapText="1"/>
      <protection/>
    </xf>
    <xf numFmtId="0" fontId="2" fillId="0" borderId="11" xfId="70" applyFont="1" applyBorder="1" applyAlignment="1">
      <alignment horizontal="center" vertical="center" wrapText="1"/>
      <protection/>
    </xf>
    <xf numFmtId="0" fontId="22" fillId="0" borderId="11" xfId="0" applyFont="1" applyBorder="1" applyAlignment="1" quotePrefix="1">
      <alignment horizontal="center" vertical="top" wrapText="1"/>
    </xf>
    <xf numFmtId="0" fontId="2" fillId="33" borderId="11" xfId="0" applyFont="1" applyFill="1" applyBorder="1" applyAlignment="1">
      <alignment/>
    </xf>
    <xf numFmtId="0" fontId="0" fillId="0" borderId="11" xfId="74" applyFont="1" applyBorder="1" applyAlignment="1">
      <alignment horizontal="right" vertical="center" wrapText="1"/>
      <protection/>
    </xf>
    <xf numFmtId="2" fontId="0" fillId="0" borderId="11" xfId="74" applyNumberFormat="1" applyFont="1" applyBorder="1" applyAlignment="1">
      <alignment horizontal="right" vertical="center" wrapText="1"/>
      <protection/>
    </xf>
    <xf numFmtId="0" fontId="2" fillId="0" borderId="11" xfId="74" applyFont="1" applyBorder="1" applyAlignment="1">
      <alignment horizontal="right" vertical="center" wrapText="1"/>
      <protection/>
    </xf>
    <xf numFmtId="2" fontId="2" fillId="0" borderId="11" xfId="74" applyNumberFormat="1" applyFont="1" applyBorder="1" applyAlignment="1">
      <alignment horizontal="right" vertical="center" wrapText="1"/>
      <protection/>
    </xf>
    <xf numFmtId="1" fontId="2" fillId="0" borderId="11" xfId="74" applyNumberFormat="1" applyFont="1" applyBorder="1" applyAlignment="1">
      <alignment horizontal="right" vertical="center" wrapText="1"/>
      <protection/>
    </xf>
    <xf numFmtId="1" fontId="2" fillId="0" borderId="11" xfId="74" applyNumberFormat="1" applyFont="1" applyBorder="1" applyAlignment="1">
      <alignment vertical="center" wrapText="1"/>
      <protection/>
    </xf>
    <xf numFmtId="2" fontId="2" fillId="0" borderId="11" xfId="74" applyNumberFormat="1" applyFont="1" applyBorder="1" applyAlignment="1">
      <alignment vertical="center" wrapText="1"/>
      <protection/>
    </xf>
    <xf numFmtId="0" fontId="2" fillId="0" borderId="11" xfId="0" applyFont="1" applyBorder="1" applyAlignment="1">
      <alignment horizontal="right" vertical="center" wrapText="1"/>
    </xf>
    <xf numFmtId="0" fontId="0" fillId="0" borderId="11" xfId="0" applyFont="1" applyFill="1" applyBorder="1" applyAlignment="1">
      <alignment horizontal="right"/>
    </xf>
    <xf numFmtId="0" fontId="2" fillId="0" borderId="11" xfId="71" applyFont="1" applyBorder="1" applyAlignment="1">
      <alignment horizontal="right"/>
      <protection/>
    </xf>
    <xf numFmtId="0" fontId="0" fillId="0" borderId="11" xfId="74" applyFont="1" applyBorder="1" applyAlignment="1">
      <alignment horizontal="center"/>
      <protection/>
    </xf>
    <xf numFmtId="0" fontId="0" fillId="0" borderId="11" xfId="71" applyFont="1" applyBorder="1" applyAlignment="1">
      <alignment horizontal="right"/>
      <protection/>
    </xf>
    <xf numFmtId="0" fontId="31" fillId="0" borderId="11" xfId="74" applyFont="1" applyBorder="1" applyAlignment="1">
      <alignment horizontal="center" vertical="center" wrapText="1"/>
      <protection/>
    </xf>
    <xf numFmtId="0" fontId="14" fillId="0" borderId="0" xfId="0" applyFont="1" applyAlignment="1">
      <alignment vertical="top" wrapText="1"/>
    </xf>
    <xf numFmtId="0" fontId="32" fillId="0" borderId="11" xfId="0" applyFont="1" applyBorder="1" applyAlignment="1">
      <alignment horizontal="right" vertical="center"/>
    </xf>
    <xf numFmtId="0" fontId="32" fillId="0" borderId="11" xfId="0" applyFont="1" applyBorder="1" applyAlignment="1">
      <alignment horizontal="right" vertical="center" wrapText="1"/>
    </xf>
    <xf numFmtId="0" fontId="2" fillId="0" borderId="14" xfId="0" applyFont="1" applyFill="1" applyBorder="1" applyAlignment="1">
      <alignment horizontal="center" vertical="top" wrapText="1"/>
    </xf>
    <xf numFmtId="0" fontId="11" fillId="0" borderId="0" xfId="0" applyFont="1" applyFill="1" applyAlignment="1">
      <alignment/>
    </xf>
    <xf numFmtId="0" fontId="2" fillId="0" borderId="0" xfId="0" applyFont="1" applyFill="1" applyBorder="1" applyAlignment="1">
      <alignment horizontal="right"/>
    </xf>
    <xf numFmtId="0" fontId="0" fillId="0" borderId="11" xfId="0" applyFont="1" applyFill="1" applyBorder="1" applyAlignment="1">
      <alignment horizontal="center"/>
    </xf>
    <xf numFmtId="0" fontId="0" fillId="0" borderId="11"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11" xfId="0" applyFont="1" applyFill="1" applyBorder="1" applyAlignment="1">
      <alignment/>
    </xf>
    <xf numFmtId="0" fontId="2" fillId="0" borderId="14" xfId="0" applyFont="1" applyFill="1" applyBorder="1" applyAlignment="1">
      <alignment/>
    </xf>
    <xf numFmtId="2" fontId="2" fillId="0" borderId="11" xfId="0" applyNumberFormat="1" applyFont="1" applyFill="1" applyBorder="1" applyAlignment="1">
      <alignment/>
    </xf>
    <xf numFmtId="0" fontId="35" fillId="0" borderId="11" xfId="62" applyFont="1" applyBorder="1">
      <alignment/>
      <protection/>
    </xf>
    <xf numFmtId="1" fontId="35" fillId="0" borderId="11" xfId="62" applyNumberFormat="1" applyFont="1" applyBorder="1">
      <alignment/>
      <protection/>
    </xf>
    <xf numFmtId="2" fontId="86" fillId="0" borderId="11" xfId="62" applyNumberFormat="1" applyBorder="1">
      <alignment/>
      <protection/>
    </xf>
    <xf numFmtId="2" fontId="35" fillId="0" borderId="11" xfId="62" applyNumberFormat="1" applyFont="1" applyBorder="1">
      <alignment/>
      <protection/>
    </xf>
    <xf numFmtId="0" fontId="35" fillId="0" borderId="0" xfId="62" applyFont="1">
      <alignment/>
      <protection/>
    </xf>
    <xf numFmtId="0" fontId="3" fillId="0" borderId="0" xfId="72" applyFont="1" applyAlignment="1">
      <alignment horizontal="right"/>
      <protection/>
    </xf>
    <xf numFmtId="0" fontId="35" fillId="0" borderId="0" xfId="62" applyFont="1" applyAlignment="1">
      <alignment horizontal="center" vertical="center" wrapText="1"/>
      <protection/>
    </xf>
    <xf numFmtId="0" fontId="35" fillId="0" borderId="11" xfId="62" applyFont="1" applyBorder="1" applyAlignment="1">
      <alignment horizontal="center" vertical="center" wrapText="1"/>
      <protection/>
    </xf>
    <xf numFmtId="0" fontId="35" fillId="0" borderId="12" xfId="62" applyFont="1" applyBorder="1" applyAlignment="1">
      <alignment horizontal="center" vertical="center" wrapText="1"/>
      <protection/>
    </xf>
    <xf numFmtId="0" fontId="0" fillId="0" borderId="11" xfId="62" applyFont="1" applyBorder="1" applyAlignment="1">
      <alignment horizontal="right" vertical="center" wrapText="1"/>
      <protection/>
    </xf>
    <xf numFmtId="2" fontId="1" fillId="0" borderId="11" xfId="62" applyNumberFormat="1" applyFont="1" applyBorder="1" applyAlignment="1">
      <alignment vertical="center" wrapText="1"/>
      <protection/>
    </xf>
    <xf numFmtId="2" fontId="86" fillId="0" borderId="0" xfId="62" applyNumberFormat="1">
      <alignment/>
      <protection/>
    </xf>
    <xf numFmtId="0" fontId="86" fillId="0" borderId="11" xfId="62" applyBorder="1" applyAlignment="1">
      <alignment horizontal="right"/>
      <protection/>
    </xf>
    <xf numFmtId="2" fontId="35" fillId="0" borderId="11" xfId="62" applyNumberFormat="1" applyFont="1" applyBorder="1" applyAlignment="1">
      <alignment vertical="center" wrapText="1"/>
      <protection/>
    </xf>
    <xf numFmtId="0" fontId="40" fillId="0" borderId="0" xfId="62" applyFont="1">
      <alignment/>
      <protection/>
    </xf>
    <xf numFmtId="2" fontId="2" fillId="0" borderId="11" xfId="72" applyNumberFormat="1" applyFont="1" applyBorder="1">
      <alignment/>
      <protection/>
    </xf>
    <xf numFmtId="1" fontId="0" fillId="0" borderId="0" xfId="0" applyNumberFormat="1" applyFont="1" applyFill="1" applyAlignment="1">
      <alignment/>
    </xf>
    <xf numFmtId="0" fontId="35" fillId="0" borderId="0" xfId="62" applyFont="1" applyAlignment="1">
      <alignment horizontal="center"/>
      <protection/>
    </xf>
    <xf numFmtId="2" fontId="35" fillId="0" borderId="0" xfId="62" applyNumberFormat="1" applyFont="1">
      <alignment/>
      <protection/>
    </xf>
    <xf numFmtId="182" fontId="2" fillId="0" borderId="11" xfId="0" applyNumberFormat="1" applyFont="1" applyBorder="1" applyAlignment="1">
      <alignment horizontal="right"/>
    </xf>
    <xf numFmtId="2" fontId="0" fillId="0" borderId="0" xfId="62" applyNumberFormat="1" applyFont="1" applyFill="1">
      <alignment/>
      <protection/>
    </xf>
    <xf numFmtId="1" fontId="9" fillId="0" borderId="0" xfId="0" applyNumberFormat="1" applyFont="1" applyFill="1" applyBorder="1" applyAlignment="1">
      <alignment horizontal="right"/>
    </xf>
    <xf numFmtId="2" fontId="0" fillId="0" borderId="0" xfId="0" applyNumberFormat="1" applyFont="1" applyFill="1" applyAlignment="1">
      <alignment/>
    </xf>
    <xf numFmtId="0" fontId="2" fillId="0" borderId="11" xfId="0" applyFont="1" applyFill="1" applyBorder="1" applyAlignment="1">
      <alignment horizontal="right"/>
    </xf>
    <xf numFmtId="0" fontId="9" fillId="0" borderId="0" xfId="0" applyFont="1" applyFill="1" applyAlignment="1">
      <alignment horizontal="right"/>
    </xf>
    <xf numFmtId="0" fontId="21" fillId="0" borderId="0" xfId="0" applyFont="1" applyFill="1" applyAlignment="1">
      <alignment/>
    </xf>
    <xf numFmtId="0" fontId="22" fillId="0" borderId="0" xfId="0" applyFont="1" applyFill="1" applyBorder="1" applyAlignment="1">
      <alignment/>
    </xf>
    <xf numFmtId="0" fontId="19" fillId="0" borderId="0" xfId="0" applyFont="1" applyAlignment="1">
      <alignment horizontal="center" wrapText="1"/>
    </xf>
    <xf numFmtId="0" fontId="16" fillId="0" borderId="0" xfId="0" applyFont="1" applyBorder="1" applyAlignment="1">
      <alignment horizontal="right"/>
    </xf>
    <xf numFmtId="0" fontId="2" fillId="33" borderId="11" xfId="0" applyFont="1" applyFill="1" applyBorder="1" applyAlignment="1">
      <alignment horizontal="center"/>
    </xf>
    <xf numFmtId="185" fontId="2" fillId="0" borderId="11" xfId="0" applyNumberFormat="1" applyFont="1" applyBorder="1" applyAlignment="1">
      <alignment horizontal="right"/>
    </xf>
    <xf numFmtId="0" fontId="2" fillId="0" borderId="0" xfId="63" applyFont="1" applyAlignment="1">
      <alignment vertical="top" wrapText="1"/>
      <protection/>
    </xf>
    <xf numFmtId="0" fontId="19" fillId="0" borderId="0" xfId="0" applyFont="1" applyBorder="1" applyAlignment="1">
      <alignment horizontal="center" wrapText="1"/>
    </xf>
    <xf numFmtId="0" fontId="2" fillId="0" borderId="0" xfId="0" applyFont="1" applyBorder="1" applyAlignment="1">
      <alignment vertical="center"/>
    </xf>
    <xf numFmtId="0" fontId="22" fillId="33" borderId="11" xfId="0" applyFont="1" applyFill="1" applyBorder="1" applyAlignment="1">
      <alignment vertical="center" wrapText="1"/>
    </xf>
    <xf numFmtId="0" fontId="37" fillId="0" borderId="11" xfId="71" applyFont="1" applyBorder="1">
      <alignment/>
      <protection/>
    </xf>
    <xf numFmtId="0" fontId="23" fillId="0" borderId="11" xfId="65" applyFont="1" applyBorder="1" applyAlignment="1">
      <alignment horizontal="center" vertical="top" wrapText="1"/>
      <protection/>
    </xf>
    <xf numFmtId="0" fontId="38" fillId="0" borderId="11" xfId="62" applyFont="1" applyBorder="1" applyAlignment="1">
      <alignment horizontal="right"/>
      <protection/>
    </xf>
    <xf numFmtId="0" fontId="2" fillId="0" borderId="0" xfId="72" applyFont="1" applyBorder="1">
      <alignment/>
      <protection/>
    </xf>
    <xf numFmtId="0" fontId="33" fillId="33" borderId="11" xfId="0" applyFont="1" applyFill="1" applyBorder="1" applyAlignment="1">
      <alignment horizontal="right"/>
    </xf>
    <xf numFmtId="0" fontId="33" fillId="0" borderId="11" xfId="0" applyFont="1" applyBorder="1" applyAlignment="1">
      <alignment horizontal="right"/>
    </xf>
    <xf numFmtId="0" fontId="34" fillId="33" borderId="11" xfId="0" applyFont="1" applyFill="1" applyBorder="1" applyAlignment="1">
      <alignment horizontal="right"/>
    </xf>
    <xf numFmtId="0" fontId="34" fillId="0" borderId="11" xfId="0" applyFont="1" applyBorder="1" applyAlignment="1">
      <alignment horizontal="right"/>
    </xf>
    <xf numFmtId="2" fontId="0" fillId="0" borderId="11" xfId="0" applyNumberFormat="1" applyFont="1" applyBorder="1" applyAlignment="1">
      <alignment horizontal="right"/>
    </xf>
    <xf numFmtId="182" fontId="0" fillId="0" borderId="11" xfId="0" applyNumberFormat="1" applyFont="1" applyBorder="1" applyAlignment="1">
      <alignment/>
    </xf>
    <xf numFmtId="182" fontId="0" fillId="0" borderId="11" xfId="0" applyNumberFormat="1" applyFont="1" applyBorder="1" applyAlignment="1">
      <alignment horizontal="right"/>
    </xf>
    <xf numFmtId="182" fontId="0" fillId="0" borderId="0" xfId="0" applyNumberFormat="1" applyFont="1" applyBorder="1" applyAlignment="1">
      <alignment horizontal="left" wrapText="1"/>
    </xf>
    <xf numFmtId="2" fontId="0" fillId="0" borderId="0" xfId="0" applyNumberFormat="1" applyFont="1" applyBorder="1" applyAlignment="1">
      <alignment horizontal="left" wrapText="1"/>
    </xf>
    <xf numFmtId="182" fontId="0" fillId="0" borderId="11" xfId="0" applyNumberFormat="1" applyFont="1" applyBorder="1" applyAlignment="1">
      <alignment horizontal="center" vertical="center" wrapText="1"/>
    </xf>
    <xf numFmtId="0" fontId="33" fillId="0" borderId="11" xfId="0" applyFont="1" applyBorder="1" applyAlignment="1">
      <alignment horizontal="right" vertical="top" wrapText="1"/>
    </xf>
    <xf numFmtId="0" fontId="0" fillId="0" borderId="11" xfId="0" applyFont="1" applyBorder="1" applyAlignment="1">
      <alignment horizontal="right" wrapText="1"/>
    </xf>
    <xf numFmtId="0" fontId="6" fillId="0" borderId="0" xfId="0" applyFont="1" applyAlignment="1">
      <alignment vertical="top" wrapText="1"/>
    </xf>
    <xf numFmtId="0" fontId="2" fillId="0" borderId="14" xfId="0" applyFont="1" applyBorder="1" applyAlignment="1">
      <alignment horizontal="center" vertical="center" wrapText="1"/>
    </xf>
    <xf numFmtId="0" fontId="23" fillId="0" borderId="0" xfId="0" applyFont="1" applyBorder="1" applyAlignment="1">
      <alignment horizontal="center"/>
    </xf>
    <xf numFmtId="0" fontId="41" fillId="0" borderId="11" xfId="0" applyFont="1" applyBorder="1" applyAlignment="1">
      <alignment horizontal="center" vertical="top" wrapText="1"/>
    </xf>
    <xf numFmtId="0" fontId="33" fillId="0" borderId="0" xfId="0" applyFont="1" applyAlignment="1">
      <alignment/>
    </xf>
    <xf numFmtId="0" fontId="14"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2" fillId="0" borderId="0" xfId="73" applyFont="1" applyAlignment="1">
      <alignment/>
      <protection/>
    </xf>
    <xf numFmtId="0" fontId="0" fillId="0" borderId="0" xfId="0" applyFont="1" applyAlignment="1">
      <alignment/>
    </xf>
    <xf numFmtId="0" fontId="0" fillId="0" borderId="0" xfId="62" applyFont="1" applyFill="1" applyAlignment="1">
      <alignment/>
      <protection/>
    </xf>
    <xf numFmtId="0" fontId="2" fillId="0" borderId="21" xfId="62" applyFont="1" applyBorder="1" applyAlignment="1">
      <alignment vertical="top" wrapText="1"/>
      <protection/>
    </xf>
    <xf numFmtId="0" fontId="2" fillId="0" borderId="0" xfId="71" applyFont="1" applyAlignment="1">
      <alignment vertical="top" wrapText="1"/>
      <protection/>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74" applyFont="1" applyFill="1" applyAlignment="1">
      <alignment horizontal="center"/>
      <protection/>
    </xf>
    <xf numFmtId="0" fontId="2" fillId="0" borderId="0" xfId="74" applyFont="1" applyFill="1" applyAlignment="1">
      <alignment horizontal="center" vertical="center" wrapText="1"/>
      <protection/>
    </xf>
    <xf numFmtId="0" fontId="2" fillId="0" borderId="0" xfId="74" applyFont="1" applyFill="1" applyAlignment="1">
      <alignment horizontal="center" vertical="top" wrapText="1"/>
      <protection/>
    </xf>
    <xf numFmtId="0" fontId="2" fillId="0" borderId="0" xfId="62" applyFont="1" applyFill="1">
      <alignment/>
      <protection/>
    </xf>
    <xf numFmtId="0" fontId="2" fillId="0" borderId="0" xfId="62" applyFont="1" applyFill="1" applyAlignment="1">
      <alignment vertical="top" wrapText="1"/>
      <protection/>
    </xf>
    <xf numFmtId="0" fontId="2" fillId="0" borderId="15"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2" fontId="0" fillId="0" borderId="11"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vertical="top" wrapText="1"/>
    </xf>
    <xf numFmtId="0" fontId="15" fillId="0" borderId="0" xfId="0" applyFont="1" applyAlignment="1">
      <alignment vertical="top" wrapText="1"/>
    </xf>
    <xf numFmtId="0" fontId="3" fillId="0" borderId="0" xfId="0" applyFont="1" applyAlignment="1">
      <alignment horizontal="left"/>
    </xf>
    <xf numFmtId="2" fontId="0" fillId="0" borderId="0" xfId="62" applyNumberFormat="1" applyFont="1" applyFill="1" applyAlignment="1">
      <alignment/>
      <protection/>
    </xf>
    <xf numFmtId="2" fontId="38" fillId="0" borderId="11" xfId="73" applyNumberFormat="1" applyFont="1" applyBorder="1" applyAlignment="1">
      <alignment horizontal="center" vertical="center" wrapText="1"/>
      <protection/>
    </xf>
    <xf numFmtId="0" fontId="38" fillId="0" borderId="11" xfId="73" applyFont="1" applyBorder="1" applyAlignment="1">
      <alignment horizontal="center" vertical="center" wrapText="1"/>
      <protection/>
    </xf>
    <xf numFmtId="2" fontId="38" fillId="0" borderId="14" xfId="73" applyNumberFormat="1" applyFont="1" applyBorder="1" applyAlignment="1">
      <alignment horizontal="center" vertical="center" wrapText="1"/>
      <protection/>
    </xf>
    <xf numFmtId="2" fontId="38" fillId="0" borderId="17" xfId="73" applyNumberFormat="1" applyFont="1" applyBorder="1" applyAlignment="1">
      <alignment horizontal="center" vertical="center" wrapText="1"/>
      <protection/>
    </xf>
    <xf numFmtId="2" fontId="38" fillId="0" borderId="15" xfId="73" applyNumberFormat="1" applyFont="1" applyBorder="1" applyAlignment="1">
      <alignment horizontal="center" vertical="center" wrapText="1"/>
      <protection/>
    </xf>
    <xf numFmtId="2" fontId="2" fillId="0" borderId="11" xfId="0" applyNumberFormat="1" applyFont="1" applyBorder="1" applyAlignment="1">
      <alignment horizontal="right" vertical="center" wrapText="1"/>
    </xf>
    <xf numFmtId="1" fontId="0" fillId="0" borderId="11" xfId="74" applyNumberFormat="1" applyFont="1" applyBorder="1" applyAlignment="1">
      <alignment horizontal="right" vertical="center" wrapText="1"/>
      <protection/>
    </xf>
    <xf numFmtId="1" fontId="0" fillId="0" borderId="11" xfId="74" applyNumberFormat="1" applyFont="1" applyBorder="1" applyAlignment="1">
      <alignment vertical="center" wrapText="1"/>
      <protection/>
    </xf>
    <xf numFmtId="2" fontId="0" fillId="0" borderId="11" xfId="74" applyNumberFormat="1" applyFont="1" applyBorder="1" applyAlignment="1">
      <alignment vertical="center" wrapText="1"/>
      <protection/>
    </xf>
    <xf numFmtId="0" fontId="16" fillId="0" borderId="0" xfId="0" applyFont="1" applyFill="1" applyAlignment="1">
      <alignment horizontal="right"/>
    </xf>
    <xf numFmtId="0" fontId="22" fillId="0" borderId="11" xfId="0" applyFont="1" applyFill="1" applyBorder="1" applyAlignment="1">
      <alignment horizontal="center" vertical="top" wrapText="1"/>
    </xf>
    <xf numFmtId="0" fontId="2" fillId="0" borderId="11" xfId="0" applyFont="1" applyFill="1" applyBorder="1" applyAlignment="1">
      <alignment horizontal="center" vertical="top"/>
    </xf>
    <xf numFmtId="0" fontId="23" fillId="0" borderId="11" xfId="0" applyFont="1" applyFill="1" applyBorder="1" applyAlignment="1" quotePrefix="1">
      <alignment horizontal="center" vertical="top" wrapText="1"/>
    </xf>
    <xf numFmtId="0" fontId="2" fillId="0" borderId="11" xfId="0" applyFont="1" applyFill="1" applyBorder="1" applyAlignment="1">
      <alignment/>
    </xf>
    <xf numFmtId="0" fontId="5" fillId="0" borderId="0" xfId="0" applyFont="1" applyAlignment="1">
      <alignment vertical="top" wrapText="1"/>
    </xf>
    <xf numFmtId="0" fontId="2" fillId="0" borderId="16" xfId="71" applyFont="1" applyBorder="1" applyAlignment="1">
      <alignment/>
      <protection/>
    </xf>
    <xf numFmtId="0" fontId="2" fillId="0" borderId="16" xfId="71" applyFont="1" applyBorder="1" applyAlignment="1">
      <alignment horizontal="right"/>
      <protection/>
    </xf>
    <xf numFmtId="0" fontId="7" fillId="0" borderId="0" xfId="71" applyFont="1" applyAlignment="1">
      <alignment horizontal="right"/>
      <protection/>
    </xf>
    <xf numFmtId="0" fontId="22" fillId="0" borderId="11" xfId="65" applyFont="1" applyBorder="1" applyAlignment="1">
      <alignment horizontal="center" vertical="top" wrapText="1"/>
      <protection/>
    </xf>
    <xf numFmtId="0" fontId="9" fillId="0" borderId="0" xfId="71" applyFont="1">
      <alignment/>
      <protection/>
    </xf>
    <xf numFmtId="0" fontId="22" fillId="0" borderId="0" xfId="0" applyFont="1" applyBorder="1" applyAlignment="1">
      <alignment horizontal="right"/>
    </xf>
    <xf numFmtId="184" fontId="0" fillId="0" borderId="0" xfId="0" applyNumberFormat="1" applyFont="1" applyBorder="1" applyAlignment="1">
      <alignment/>
    </xf>
    <xf numFmtId="2" fontId="0" fillId="0" borderId="11" xfId="0" applyNumberFormat="1" applyFont="1" applyBorder="1" applyAlignment="1">
      <alignment/>
    </xf>
    <xf numFmtId="14" fontId="0" fillId="0" borderId="11" xfId="0" applyNumberFormat="1" applyFont="1" applyBorder="1" applyAlignment="1">
      <alignment horizontal="center"/>
    </xf>
    <xf numFmtId="0" fontId="0" fillId="0" borderId="0" xfId="72" applyFont="1">
      <alignment/>
      <protection/>
    </xf>
    <xf numFmtId="0" fontId="0" fillId="0" borderId="0" xfId="72" applyFont="1" applyBorder="1">
      <alignment/>
      <protection/>
    </xf>
    <xf numFmtId="2" fontId="0" fillId="0" borderId="11" xfId="72" applyNumberFormat="1" applyFont="1" applyBorder="1">
      <alignment/>
      <protection/>
    </xf>
    <xf numFmtId="0" fontId="0" fillId="0" borderId="11" xfId="72" applyFont="1" applyBorder="1">
      <alignment/>
      <protection/>
    </xf>
    <xf numFmtId="0" fontId="0" fillId="0" borderId="0" xfId="72" applyFont="1" applyFill="1" applyBorder="1" applyAlignment="1">
      <alignment horizontal="left"/>
      <protection/>
    </xf>
    <xf numFmtId="0" fontId="0" fillId="0" borderId="0" xfId="72" applyFont="1" applyAlignment="1">
      <alignment/>
      <protection/>
    </xf>
    <xf numFmtId="0" fontId="0" fillId="0" borderId="0" xfId="72" applyFont="1" applyAlignment="1">
      <alignment horizontal="left"/>
      <protection/>
    </xf>
    <xf numFmtId="0" fontId="31" fillId="0" borderId="11" xfId="0" applyFont="1" applyBorder="1" applyAlignment="1">
      <alignment horizontal="center"/>
    </xf>
    <xf numFmtId="0" fontId="31" fillId="0" borderId="11" xfId="0" applyFont="1" applyBorder="1" applyAlignment="1">
      <alignment horizontal="center" vertical="center" wrapText="1"/>
    </xf>
    <xf numFmtId="2" fontId="0" fillId="0" borderId="0" xfId="72" applyNumberFormat="1" applyFont="1">
      <alignment/>
      <protection/>
    </xf>
    <xf numFmtId="0" fontId="12" fillId="0" borderId="0" xfId="62" applyFont="1">
      <alignment/>
      <protection/>
    </xf>
    <xf numFmtId="0" fontId="2" fillId="0" borderId="12" xfId="62" applyFont="1" applyBorder="1" applyAlignment="1">
      <alignment horizontal="center" vertical="top" wrapText="1"/>
      <protection/>
    </xf>
    <xf numFmtId="0" fontId="12" fillId="0" borderId="0" xfId="62" applyFont="1" applyBorder="1">
      <alignment/>
      <protection/>
    </xf>
    <xf numFmtId="0" fontId="14" fillId="0" borderId="10" xfId="62" applyFont="1" applyBorder="1" applyAlignment="1">
      <alignment horizontal="center"/>
      <protection/>
    </xf>
    <xf numFmtId="0" fontId="14" fillId="0" borderId="18" xfId="62" applyFont="1" applyBorder="1" applyAlignment="1">
      <alignment horizontal="center" wrapText="1"/>
      <protection/>
    </xf>
    <xf numFmtId="0" fontId="12" fillId="0" borderId="11" xfId="62" applyFont="1" applyBorder="1" applyAlignment="1">
      <alignment horizontal="center"/>
      <protection/>
    </xf>
    <xf numFmtId="0" fontId="12" fillId="0" borderId="11" xfId="62" applyFont="1" applyBorder="1" applyAlignment="1">
      <alignment wrapText="1"/>
      <protection/>
    </xf>
    <xf numFmtId="0" fontId="12" fillId="0" borderId="11" xfId="62" applyFont="1" applyBorder="1">
      <alignment/>
      <protection/>
    </xf>
    <xf numFmtId="0" fontId="12" fillId="0" borderId="11" xfId="62" applyFont="1" applyBorder="1" applyAlignment="1">
      <alignment/>
      <protection/>
    </xf>
    <xf numFmtId="0" fontId="14" fillId="0" borderId="11" xfId="62" applyFont="1" applyBorder="1" applyAlignment="1">
      <alignment wrapText="1"/>
      <protection/>
    </xf>
    <xf numFmtId="0" fontId="14" fillId="0" borderId="11" xfId="62" applyFont="1" applyBorder="1">
      <alignment/>
      <protection/>
    </xf>
    <xf numFmtId="0" fontId="14" fillId="0" borderId="11" xfId="62" applyFont="1" applyBorder="1" applyAlignment="1">
      <alignment/>
      <protection/>
    </xf>
    <xf numFmtId="0" fontId="14" fillId="0" borderId="0" xfId="62" applyFont="1">
      <alignment/>
      <protection/>
    </xf>
    <xf numFmtId="0" fontId="39" fillId="0" borderId="0" xfId="62" applyFont="1">
      <alignment/>
      <protection/>
    </xf>
    <xf numFmtId="0" fontId="39" fillId="0" borderId="0" xfId="62" applyFont="1" applyAlignment="1">
      <alignment horizontal="left"/>
      <protection/>
    </xf>
    <xf numFmtId="0" fontId="31" fillId="0" borderId="0" xfId="62" applyFont="1">
      <alignment/>
      <protection/>
    </xf>
    <xf numFmtId="0" fontId="31" fillId="0" borderId="0" xfId="62" applyFont="1" applyBorder="1" applyAlignment="1">
      <alignment horizontal="left"/>
      <protection/>
    </xf>
    <xf numFmtId="0" fontId="39" fillId="0" borderId="16" xfId="62" applyFont="1" applyBorder="1" applyAlignment="1">
      <alignment horizontal="center"/>
      <protection/>
    </xf>
    <xf numFmtId="0" fontId="2" fillId="0" borderId="14" xfId="62" applyFont="1" applyBorder="1" applyAlignment="1">
      <alignment horizontal="center" vertical="top" wrapText="1"/>
      <protection/>
    </xf>
    <xf numFmtId="0" fontId="14" fillId="0" borderId="11" xfId="62" applyFont="1" applyBorder="1" applyAlignment="1">
      <alignment horizontal="center" vertical="top" wrapText="1"/>
      <protection/>
    </xf>
    <xf numFmtId="0" fontId="31" fillId="0" borderId="0" xfId="62" applyFont="1" applyAlignment="1">
      <alignment horizontal="center"/>
      <protection/>
    </xf>
    <xf numFmtId="0" fontId="39" fillId="0" borderId="11" xfId="62" applyFont="1" applyBorder="1" applyAlignment="1">
      <alignment horizontal="center"/>
      <protection/>
    </xf>
    <xf numFmtId="0" fontId="39" fillId="0" borderId="11" xfId="62" applyFont="1" applyBorder="1">
      <alignment/>
      <protection/>
    </xf>
    <xf numFmtId="1" fontId="39" fillId="0" borderId="11" xfId="62" applyNumberFormat="1" applyFont="1" applyBorder="1">
      <alignment/>
      <protection/>
    </xf>
    <xf numFmtId="0" fontId="39" fillId="0" borderId="11" xfId="62" applyFont="1" applyBorder="1" applyAlignment="1">
      <alignment horizontal="center"/>
      <protection/>
    </xf>
    <xf numFmtId="0" fontId="39" fillId="0" borderId="11" xfId="62" applyFont="1" applyBorder="1">
      <alignment/>
      <protection/>
    </xf>
    <xf numFmtId="1" fontId="39" fillId="0" borderId="11" xfId="62" applyNumberFormat="1" applyFont="1" applyBorder="1">
      <alignment/>
      <protection/>
    </xf>
    <xf numFmtId="0" fontId="39" fillId="0" borderId="0" xfId="62" applyFont="1">
      <alignment/>
      <protection/>
    </xf>
    <xf numFmtId="0" fontId="39" fillId="0" borderId="0" xfId="62" applyFont="1" applyBorder="1">
      <alignment/>
      <protection/>
    </xf>
    <xf numFmtId="0" fontId="31" fillId="0" borderId="11" xfId="62" applyFont="1" applyBorder="1">
      <alignment/>
      <protection/>
    </xf>
    <xf numFmtId="1" fontId="31" fillId="0" borderId="11" xfId="62" applyNumberFormat="1" applyFont="1" applyBorder="1">
      <alignment/>
      <protection/>
    </xf>
    <xf numFmtId="1" fontId="39" fillId="0" borderId="0" xfId="62" applyNumberFormat="1" applyFont="1">
      <alignment/>
      <protection/>
    </xf>
    <xf numFmtId="0" fontId="42" fillId="0" borderId="0" xfId="62" applyFont="1" applyAlignment="1">
      <alignment/>
      <protection/>
    </xf>
    <xf numFmtId="0" fontId="6" fillId="0" borderId="0" xfId="62" applyFont="1" applyAlignment="1">
      <alignment horizontal="left"/>
      <protection/>
    </xf>
    <xf numFmtId="0" fontId="39" fillId="0" borderId="0" xfId="62" applyFont="1" applyBorder="1" applyAlignment="1">
      <alignment horizontal="left"/>
      <protection/>
    </xf>
    <xf numFmtId="0" fontId="31" fillId="0" borderId="0" xfId="62" applyFont="1" applyAlignment="1">
      <alignment horizontal="right"/>
      <protection/>
    </xf>
    <xf numFmtId="0" fontId="31" fillId="0" borderId="11" xfId="62" applyFont="1" applyBorder="1" applyAlignment="1">
      <alignment horizontal="center" vertical="top" wrapText="1"/>
      <protection/>
    </xf>
    <xf numFmtId="0" fontId="31" fillId="0" borderId="0" xfId="62" applyFont="1" applyBorder="1" applyAlignment="1">
      <alignment horizontal="center" vertical="top" wrapText="1"/>
      <protection/>
    </xf>
    <xf numFmtId="0" fontId="31" fillId="0" borderId="0" xfId="62" applyFont="1" applyBorder="1">
      <alignment/>
      <protection/>
    </xf>
    <xf numFmtId="0" fontId="31" fillId="0" borderId="0" xfId="62" applyFont="1" applyBorder="1" applyAlignment="1">
      <alignment horizontal="center"/>
      <protection/>
    </xf>
    <xf numFmtId="0" fontId="31" fillId="0" borderId="11" xfId="62" applyFont="1" applyBorder="1" applyAlignment="1">
      <alignment horizontal="center"/>
      <protection/>
    </xf>
    <xf numFmtId="0" fontId="39" fillId="0" borderId="11" xfId="62" applyFont="1" applyBorder="1" applyAlignment="1">
      <alignment horizontal="right"/>
      <protection/>
    </xf>
    <xf numFmtId="2" fontId="12" fillId="0" borderId="0" xfId="62" applyNumberFormat="1" applyFont="1" applyBorder="1" applyAlignment="1">
      <alignment horizontal="right" vertical="top" wrapText="1"/>
      <protection/>
    </xf>
    <xf numFmtId="1" fontId="0" fillId="0" borderId="0" xfId="62" applyNumberFormat="1" applyFont="1" applyBorder="1" applyAlignment="1">
      <alignment horizontal="right" vertical="top" wrapText="1"/>
      <protection/>
    </xf>
    <xf numFmtId="1" fontId="31" fillId="0" borderId="0" xfId="62" applyNumberFormat="1" applyFont="1" applyBorder="1" applyAlignment="1">
      <alignment horizontal="center"/>
      <protection/>
    </xf>
    <xf numFmtId="0" fontId="39" fillId="0" borderId="0" xfId="62" applyFont="1" applyBorder="1">
      <alignment/>
      <protection/>
    </xf>
    <xf numFmtId="2" fontId="31" fillId="0" borderId="11" xfId="62" applyNumberFormat="1" applyFont="1" applyBorder="1">
      <alignment/>
      <protection/>
    </xf>
    <xf numFmtId="2" fontId="14" fillId="0" borderId="11" xfId="62" applyNumberFormat="1" applyFont="1" applyBorder="1" applyAlignment="1">
      <alignment horizontal="right" vertical="top" wrapText="1"/>
      <protection/>
    </xf>
    <xf numFmtId="2" fontId="14" fillId="0" borderId="0" xfId="62" applyNumberFormat="1" applyFont="1" applyBorder="1" applyAlignment="1">
      <alignment horizontal="right" vertical="top" wrapText="1"/>
      <protection/>
    </xf>
    <xf numFmtId="0" fontId="38" fillId="0" borderId="0" xfId="62" applyFont="1" applyAlignment="1">
      <alignment horizontal="center"/>
      <protection/>
    </xf>
    <xf numFmtId="0" fontId="0" fillId="0" borderId="11" xfId="62" applyFont="1" applyBorder="1" applyAlignment="1">
      <alignment horizontal="right" vertical="top" wrapText="1"/>
      <protection/>
    </xf>
    <xf numFmtId="1" fontId="0" fillId="0" borderId="11" xfId="62" applyNumberFormat="1" applyFont="1" applyBorder="1" applyAlignment="1">
      <alignment horizontal="right" vertical="top" wrapText="1"/>
      <protection/>
    </xf>
    <xf numFmtId="1" fontId="39" fillId="0" borderId="11" xfId="62" applyNumberFormat="1" applyFont="1" applyBorder="1" applyAlignment="1">
      <alignment horizontal="right"/>
      <protection/>
    </xf>
    <xf numFmtId="0" fontId="31" fillId="0" borderId="11" xfId="62" applyFont="1" applyBorder="1" applyAlignment="1">
      <alignment horizontal="right"/>
      <protection/>
    </xf>
    <xf numFmtId="1" fontId="31" fillId="0" borderId="11" xfId="62" applyNumberFormat="1" applyFont="1" applyBorder="1" applyAlignment="1">
      <alignment horizontal="right"/>
      <protection/>
    </xf>
    <xf numFmtId="0" fontId="0" fillId="0" borderId="14" xfId="0" applyFont="1" applyFill="1" applyBorder="1" applyAlignment="1">
      <alignment/>
    </xf>
    <xf numFmtId="2" fontId="0" fillId="0" borderId="11" xfId="0" applyNumberFormat="1" applyFont="1" applyFill="1" applyBorder="1" applyAlignment="1">
      <alignment/>
    </xf>
    <xf numFmtId="0" fontId="44" fillId="0" borderId="0" xfId="0" applyFont="1" applyAlignment="1">
      <alignment horizontal="center"/>
    </xf>
    <xf numFmtId="0" fontId="45" fillId="0" borderId="0" xfId="0" applyFont="1" applyBorder="1" applyAlignment="1">
      <alignment horizontal="center" vertical="center"/>
    </xf>
    <xf numFmtId="0" fontId="29" fillId="0" borderId="11" xfId="0" applyFont="1" applyBorder="1" applyAlignment="1">
      <alignment vertical="top" wrapText="1"/>
    </xf>
    <xf numFmtId="0" fontId="29" fillId="0" borderId="11" xfId="0" applyFont="1" applyBorder="1" applyAlignment="1">
      <alignment horizontal="center" vertical="top" wrapText="1"/>
    </xf>
    <xf numFmtId="0" fontId="31" fillId="0" borderId="0" xfId="0" applyFont="1" applyAlignment="1">
      <alignment/>
    </xf>
    <xf numFmtId="0" fontId="38" fillId="0" borderId="11" xfId="0" applyFont="1" applyBorder="1" applyAlignment="1">
      <alignment vertical="center" wrapText="1"/>
    </xf>
    <xf numFmtId="0" fontId="29" fillId="0" borderId="11" xfId="74" applyFont="1" applyBorder="1" applyAlignment="1">
      <alignment horizontal="center" vertical="top" wrapText="1"/>
      <protection/>
    </xf>
    <xf numFmtId="0" fontId="38" fillId="0" borderId="11" xfId="0" applyFont="1" applyBorder="1" applyAlignment="1">
      <alignment horizontal="left" vertical="center" wrapText="1" indent="2"/>
    </xf>
    <xf numFmtId="0" fontId="38" fillId="0" borderId="0" xfId="0" applyFont="1" applyBorder="1" applyAlignment="1">
      <alignment horizontal="left" vertical="center" wrapText="1" indent="2"/>
    </xf>
    <xf numFmtId="0" fontId="38" fillId="0" borderId="0" xfId="0" applyFont="1" applyBorder="1" applyAlignment="1">
      <alignment vertical="center" wrapText="1"/>
    </xf>
    <xf numFmtId="0" fontId="31" fillId="0" borderId="11" xfId="0" applyFont="1" applyBorder="1" applyAlignment="1">
      <alignment horizontal="center" vertical="top" wrapText="1"/>
    </xf>
    <xf numFmtId="0" fontId="31" fillId="0" borderId="11" xfId="0" applyFont="1" applyBorder="1" applyAlignment="1">
      <alignment vertical="top" wrapText="1"/>
    </xf>
    <xf numFmtId="0" fontId="31" fillId="0" borderId="14" xfId="0" applyFont="1" applyBorder="1" applyAlignment="1">
      <alignment horizontal="center" vertical="top" wrapText="1"/>
    </xf>
    <xf numFmtId="0" fontId="38" fillId="0" borderId="11" xfId="0" applyFont="1" applyBorder="1" applyAlignment="1">
      <alignment horizontal="center" vertical="center" wrapText="1"/>
    </xf>
    <xf numFmtId="0" fontId="49" fillId="0" borderId="11" xfId="0" applyFont="1" applyBorder="1" applyAlignment="1">
      <alignment horizontal="center" vertical="top" wrapText="1"/>
    </xf>
    <xf numFmtId="0" fontId="49" fillId="0" borderId="11" xfId="0" applyFont="1" applyBorder="1" applyAlignment="1">
      <alignment vertical="top" wrapText="1"/>
    </xf>
    <xf numFmtId="0" fontId="50" fillId="0" borderId="11" xfId="0" applyFont="1" applyBorder="1" applyAlignment="1">
      <alignment horizontal="center"/>
    </xf>
    <xf numFmtId="0" fontId="39" fillId="0" borderId="11" xfId="0" applyFont="1" applyBorder="1" applyAlignment="1">
      <alignment horizontal="center"/>
    </xf>
    <xf numFmtId="0" fontId="52" fillId="0" borderId="21" xfId="0" applyFont="1" applyBorder="1" applyAlignment="1">
      <alignment vertical="center" wrapText="1"/>
    </xf>
    <xf numFmtId="0" fontId="0" fillId="0" borderId="11" xfId="62" applyFont="1" applyBorder="1" applyAlignment="1">
      <alignment horizontal="center"/>
      <protection/>
    </xf>
    <xf numFmtId="0" fontId="39" fillId="0" borderId="11" xfId="53" applyFont="1" applyFill="1" applyBorder="1" applyAlignment="1" applyProtection="1">
      <alignment wrapText="1"/>
      <protection/>
    </xf>
    <xf numFmtId="0" fontId="37" fillId="0" borderId="11" xfId="0" applyFont="1" applyBorder="1" applyAlignment="1" quotePrefix="1">
      <alignment horizontal="center" vertical="top" wrapText="1"/>
    </xf>
    <xf numFmtId="1" fontId="39" fillId="0" borderId="11" xfId="60" applyNumberFormat="1" applyFont="1" applyBorder="1" applyAlignment="1">
      <alignment horizontal="center"/>
      <protection/>
    </xf>
    <xf numFmtId="0" fontId="0" fillId="0" borderId="11" xfId="61" applyFont="1" applyFill="1" applyBorder="1" applyAlignment="1">
      <alignment vertical="center" wrapText="1"/>
      <protection/>
    </xf>
    <xf numFmtId="0" fontId="38" fillId="0" borderId="11" xfId="62" applyFont="1" applyBorder="1" applyAlignment="1">
      <alignment horizontal="center"/>
      <protection/>
    </xf>
    <xf numFmtId="1" fontId="2" fillId="0" borderId="11" xfId="62" applyNumberFormat="1" applyFont="1" applyBorder="1" applyAlignment="1">
      <alignment horizontal="center"/>
      <protection/>
    </xf>
    <xf numFmtId="0" fontId="37" fillId="0" borderId="11" xfId="0" applyFont="1" applyBorder="1" applyAlignment="1" quotePrefix="1">
      <alignment horizontal="right" vertical="top" wrapText="1"/>
    </xf>
    <xf numFmtId="0" fontId="0" fillId="0" borderId="0" xfId="71" applyFont="1" applyFill="1" applyBorder="1" applyAlignment="1">
      <alignment horizontal="left"/>
      <protection/>
    </xf>
    <xf numFmtId="0" fontId="0" fillId="0" borderId="0" xfId="0" applyFont="1" applyAlignment="1">
      <alignment horizontal="left"/>
    </xf>
    <xf numFmtId="0" fontId="0" fillId="0" borderId="14" xfId="71" applyFont="1" applyBorder="1">
      <alignment/>
      <protection/>
    </xf>
    <xf numFmtId="0" fontId="0" fillId="0" borderId="13" xfId="71" applyFont="1" applyBorder="1">
      <alignment/>
      <protection/>
    </xf>
    <xf numFmtId="0" fontId="2" fillId="0" borderId="14" xfId="71" applyFont="1" applyBorder="1">
      <alignment/>
      <protection/>
    </xf>
    <xf numFmtId="0" fontId="2" fillId="0" borderId="13" xfId="71" applyFont="1" applyBorder="1">
      <alignment/>
      <protection/>
    </xf>
    <xf numFmtId="0" fontId="0" fillId="0" borderId="0" xfId="71" applyFont="1" applyAlignment="1">
      <alignment horizontal="left"/>
      <protection/>
    </xf>
    <xf numFmtId="0" fontId="0" fillId="0" borderId="11" xfId="0" applyFont="1" applyBorder="1" applyAlignment="1">
      <alignment horizontal="center" vertical="top" wrapText="1"/>
    </xf>
    <xf numFmtId="0" fontId="37" fillId="0" borderId="11" xfId="71" applyFont="1" applyBorder="1" applyAlignment="1">
      <alignment horizontal="center"/>
      <protection/>
    </xf>
    <xf numFmtId="0" fontId="37" fillId="0" borderId="11" xfId="65" applyFont="1" applyFill="1" applyBorder="1" applyAlignment="1">
      <alignment horizontal="left" vertical="center" wrapText="1"/>
      <protection/>
    </xf>
    <xf numFmtId="1" fontId="37" fillId="0" borderId="11" xfId="71" applyNumberFormat="1" applyFont="1" applyBorder="1" applyAlignment="1">
      <alignment horizontal="right"/>
      <protection/>
    </xf>
    <xf numFmtId="0" fontId="44" fillId="0" borderId="0" xfId="0" applyFont="1" applyFill="1" applyAlignment="1">
      <alignment horizontal="center"/>
    </xf>
    <xf numFmtId="0" fontId="21" fillId="0" borderId="11" xfId="0" applyFont="1" applyFill="1" applyBorder="1" applyAlignment="1" quotePrefix="1">
      <alignment horizontal="center" vertical="top" wrapText="1"/>
    </xf>
    <xf numFmtId="0" fontId="21" fillId="0" borderId="11" xfId="0" applyFont="1" applyFill="1" applyBorder="1" applyAlignment="1" quotePrefix="1">
      <alignment vertical="top" wrapText="1"/>
    </xf>
    <xf numFmtId="0" fontId="0" fillId="0" borderId="11" xfId="0" applyFont="1" applyFill="1" applyBorder="1" applyAlignment="1" quotePrefix="1">
      <alignment horizontal="right" vertical="top" wrapText="1"/>
    </xf>
    <xf numFmtId="0" fontId="31" fillId="33" borderId="11" xfId="0" applyFont="1" applyFill="1" applyBorder="1" applyAlignment="1">
      <alignment horizontal="center" vertical="top" wrapText="1"/>
    </xf>
    <xf numFmtId="0" fontId="0" fillId="33" borderId="11" xfId="0" applyFont="1" applyFill="1" applyBorder="1" applyAlignment="1">
      <alignment/>
    </xf>
    <xf numFmtId="0" fontId="0" fillId="0" borderId="18" xfId="0" applyFont="1" applyFill="1" applyBorder="1" applyAlignment="1">
      <alignment horizontal="right"/>
    </xf>
    <xf numFmtId="0" fontId="0" fillId="0" borderId="11" xfId="62" applyFont="1" applyFill="1" applyBorder="1" applyAlignment="1">
      <alignment horizontal="right" vertical="top" wrapText="1"/>
      <protection/>
    </xf>
    <xf numFmtId="0" fontId="0" fillId="33" borderId="0" xfId="0" applyFont="1" applyFill="1" applyAlignment="1">
      <alignment/>
    </xf>
    <xf numFmtId="1" fontId="0" fillId="0" borderId="11" xfId="0" applyNumberFormat="1" applyFont="1" applyBorder="1" applyAlignment="1">
      <alignment/>
    </xf>
    <xf numFmtId="1" fontId="0" fillId="0" borderId="11" xfId="74" applyNumberFormat="1" applyFont="1" applyBorder="1">
      <alignment/>
      <protection/>
    </xf>
    <xf numFmtId="2" fontId="0" fillId="0" borderId="11" xfId="74" applyNumberFormat="1" applyFont="1" applyBorder="1">
      <alignment/>
      <protection/>
    </xf>
    <xf numFmtId="0" fontId="0" fillId="0" borderId="11" xfId="74" applyFont="1" applyBorder="1">
      <alignment/>
      <protection/>
    </xf>
    <xf numFmtId="0" fontId="0" fillId="34" borderId="11" xfId="0" applyFont="1" applyFill="1" applyBorder="1" applyAlignment="1">
      <alignment horizontal="center"/>
    </xf>
    <xf numFmtId="2" fontId="0" fillId="0" borderId="0" xfId="0" applyNumberFormat="1" applyFont="1" applyBorder="1" applyAlignment="1">
      <alignment/>
    </xf>
    <xf numFmtId="0" fontId="50" fillId="0" borderId="0" xfId="0" applyFont="1" applyAlignment="1">
      <alignment horizontal="center"/>
    </xf>
    <xf numFmtId="0" fontId="0" fillId="0" borderId="14" xfId="65" applyFont="1" applyFill="1" applyBorder="1" applyAlignment="1">
      <alignment horizontal="left" vertical="center" wrapText="1"/>
      <protection/>
    </xf>
    <xf numFmtId="0" fontId="53" fillId="0" borderId="0" xfId="0" applyFont="1" applyAlignment="1">
      <alignment/>
    </xf>
    <xf numFmtId="0" fontId="31" fillId="0" borderId="11" xfId="0" applyFont="1" applyBorder="1" applyAlignment="1">
      <alignment horizontal="center"/>
    </xf>
    <xf numFmtId="0" fontId="48" fillId="0" borderId="0" xfId="0" applyFont="1" applyBorder="1" applyAlignment="1">
      <alignment vertical="top"/>
    </xf>
    <xf numFmtId="0" fontId="52" fillId="0" borderId="11" xfId="0" applyFont="1" applyBorder="1" applyAlignment="1">
      <alignment horizontal="center" vertical="center" wrapText="1"/>
    </xf>
    <xf numFmtId="0" fontId="0" fillId="0" borderId="14" xfId="74" applyFont="1" applyBorder="1" applyAlignment="1">
      <alignment horizontal="center" vertical="center" wrapText="1"/>
      <protection/>
    </xf>
    <xf numFmtId="0" fontId="2" fillId="0" borderId="14" xfId="74" applyFont="1" applyBorder="1" applyAlignment="1">
      <alignment horizontal="center" vertical="center" wrapText="1"/>
      <protection/>
    </xf>
    <xf numFmtId="0" fontId="29" fillId="0" borderId="0" xfId="74" applyFont="1" applyBorder="1" applyAlignment="1">
      <alignment horizontal="left" vertical="center" wrapText="1"/>
      <protection/>
    </xf>
    <xf numFmtId="0" fontId="2" fillId="0" borderId="0" xfId="74" applyFont="1" applyBorder="1" applyAlignment="1">
      <alignment horizontal="center" vertical="center" wrapText="1"/>
      <protection/>
    </xf>
    <xf numFmtId="1" fontId="12" fillId="0" borderId="11" xfId="0" applyNumberFormat="1" applyFont="1" applyBorder="1" applyAlignment="1">
      <alignment horizontal="center"/>
    </xf>
    <xf numFmtId="0" fontId="12" fillId="0" borderId="11" xfId="65" applyFont="1" applyFill="1" applyBorder="1" applyAlignment="1">
      <alignment horizontal="left" vertical="center" wrapText="1"/>
      <protection/>
    </xf>
    <xf numFmtId="0" fontId="12" fillId="0" borderId="18" xfId="0" applyFont="1" applyFill="1" applyBorder="1" applyAlignment="1">
      <alignment/>
    </xf>
    <xf numFmtId="185" fontId="0" fillId="0" borderId="11" xfId="0" applyNumberFormat="1" applyFont="1" applyBorder="1" applyAlignment="1">
      <alignment/>
    </xf>
    <xf numFmtId="2" fontId="0" fillId="0" borderId="11" xfId="59" applyNumberFormat="1" applyFont="1" applyBorder="1" applyAlignment="1">
      <alignment horizontal="right"/>
      <protection/>
    </xf>
    <xf numFmtId="2" fontId="0" fillId="0" borderId="11" xfId="58" applyNumberFormat="1" applyFont="1" applyBorder="1">
      <alignment/>
      <protection/>
    </xf>
    <xf numFmtId="0" fontId="8" fillId="0" borderId="0" xfId="62" applyFont="1">
      <alignment/>
      <protection/>
    </xf>
    <xf numFmtId="0" fontId="0" fillId="0" borderId="14" xfId="0" applyFont="1" applyBorder="1" applyAlignment="1">
      <alignment/>
    </xf>
    <xf numFmtId="0" fontId="0" fillId="0" borderId="11" xfId="81" applyFont="1" applyBorder="1">
      <alignment/>
      <protection/>
    </xf>
    <xf numFmtId="1" fontId="39" fillId="0" borderId="11" xfId="78" applyNumberFormat="1" applyFont="1" applyBorder="1">
      <alignment/>
      <protection/>
    </xf>
    <xf numFmtId="1" fontId="0" fillId="0" borderId="11" xfId="0" applyNumberFormat="1" applyFont="1" applyFill="1" applyBorder="1" applyAlignment="1">
      <alignment/>
    </xf>
    <xf numFmtId="1" fontId="39" fillId="0" borderId="11" xfId="75" applyNumberFormat="1" applyFont="1" applyBorder="1" applyAlignment="1">
      <alignment horizontal="right" vertical="center"/>
      <protection/>
    </xf>
    <xf numFmtId="0" fontId="0" fillId="0" borderId="13" xfId="0" applyFont="1" applyBorder="1" applyAlignment="1">
      <alignment/>
    </xf>
    <xf numFmtId="0" fontId="50" fillId="0" borderId="0" xfId="0" applyFont="1" applyBorder="1" applyAlignment="1">
      <alignment horizontal="center"/>
    </xf>
    <xf numFmtId="0" fontId="0" fillId="0" borderId="0" xfId="73" applyFont="1">
      <alignment/>
      <protection/>
    </xf>
    <xf numFmtId="0" fontId="0" fillId="0" borderId="0" xfId="73" applyFont="1" applyAlignment="1">
      <alignment horizontal="center" vertical="center" wrapText="1"/>
      <protection/>
    </xf>
    <xf numFmtId="0" fontId="0" fillId="0" borderId="0" xfId="0" applyFont="1" applyAlignment="1">
      <alignment vertical="center"/>
    </xf>
    <xf numFmtId="0" fontId="31" fillId="0" borderId="0" xfId="0" applyFont="1" applyBorder="1" applyAlignment="1">
      <alignment horizontal="center"/>
    </xf>
    <xf numFmtId="0" fontId="31" fillId="0" borderId="0" xfId="0" applyFont="1" applyAlignment="1">
      <alignment horizontal="center"/>
    </xf>
    <xf numFmtId="2" fontId="22" fillId="0" borderId="11" xfId="0" applyNumberFormat="1" applyFont="1" applyBorder="1" applyAlignment="1" quotePrefix="1">
      <alignment horizontal="center" vertical="top" wrapText="1"/>
    </xf>
    <xf numFmtId="1" fontId="0" fillId="0" borderId="11" xfId="0" applyNumberFormat="1" applyFont="1" applyBorder="1" applyAlignment="1">
      <alignment horizontal="right"/>
    </xf>
    <xf numFmtId="0" fontId="0" fillId="0" borderId="11" xfId="74" applyFont="1" applyBorder="1" applyAlignment="1">
      <alignment horizontal="right"/>
      <protection/>
    </xf>
    <xf numFmtId="2" fontId="0" fillId="0" borderId="11" xfId="74" applyNumberFormat="1" applyFont="1" applyBorder="1" applyAlignment="1">
      <alignment horizontal="right"/>
      <protection/>
    </xf>
    <xf numFmtId="1" fontId="0" fillId="0" borderId="11" xfId="74" applyNumberFormat="1" applyFont="1" applyBorder="1" applyAlignment="1">
      <alignment horizontal="right"/>
      <protection/>
    </xf>
    <xf numFmtId="0" fontId="0" fillId="0" borderId="11" xfId="0" applyFont="1" applyBorder="1" applyAlignment="1">
      <alignment horizontal="right"/>
    </xf>
    <xf numFmtId="1" fontId="2" fillId="0" borderId="11" xfId="0" applyNumberFormat="1" applyFont="1" applyBorder="1" applyAlignment="1">
      <alignment horizontal="right"/>
    </xf>
    <xf numFmtId="1" fontId="2" fillId="0" borderId="11" xfId="0" applyNumberFormat="1" applyFont="1" applyBorder="1" applyAlignment="1">
      <alignment horizontal="center"/>
    </xf>
    <xf numFmtId="2" fontId="2" fillId="0" borderId="0" xfId="0" applyNumberFormat="1" applyFont="1" applyAlignment="1">
      <alignment/>
    </xf>
    <xf numFmtId="2" fontId="2" fillId="0" borderId="0" xfId="0" applyNumberFormat="1" applyFont="1" applyFill="1" applyAlignment="1">
      <alignment vertical="top" wrapText="1"/>
    </xf>
    <xf numFmtId="0" fontId="14" fillId="0" borderId="0" xfId="0" applyFont="1" applyAlignment="1">
      <alignment horizontal="center"/>
    </xf>
    <xf numFmtId="0" fontId="25" fillId="0" borderId="0" xfId="0" applyFont="1" applyAlignment="1">
      <alignment horizontal="center" wrapText="1"/>
    </xf>
    <xf numFmtId="0" fontId="2" fillId="0" borderId="0" xfId="0" applyFont="1" applyFill="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left" vertical="top" wrapText="1"/>
    </xf>
    <xf numFmtId="0" fontId="0"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2" fillId="0" borderId="22" xfId="0" applyFont="1" applyBorder="1" applyAlignment="1">
      <alignment horizontal="center" vertical="top"/>
    </xf>
    <xf numFmtId="0" fontId="2" fillId="0" borderId="21" xfId="0" applyFont="1" applyBorder="1" applyAlignment="1">
      <alignment horizontal="center" vertical="top"/>
    </xf>
    <xf numFmtId="0" fontId="2" fillId="0" borderId="23" xfId="0" applyFont="1" applyBorder="1" applyAlignment="1">
      <alignment horizontal="center" vertical="top"/>
    </xf>
    <xf numFmtId="0" fontId="2" fillId="0" borderId="19" xfId="0" applyFont="1" applyBorder="1" applyAlignment="1">
      <alignment horizontal="center" vertical="top"/>
    </xf>
    <xf numFmtId="0" fontId="2" fillId="0" borderId="16" xfId="0" applyFont="1" applyBorder="1" applyAlignment="1">
      <alignment horizontal="center" vertical="top"/>
    </xf>
    <xf numFmtId="0" fontId="2" fillId="0" borderId="24" xfId="0" applyFont="1" applyBorder="1" applyAlignment="1">
      <alignment horizontal="center" vertical="top"/>
    </xf>
    <xf numFmtId="0" fontId="2" fillId="0" borderId="11"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2" fontId="0" fillId="0" borderId="11" xfId="0" applyNumberFormat="1" applyFont="1" applyBorder="1" applyAlignment="1">
      <alignment horizontal="center"/>
    </xf>
    <xf numFmtId="2" fontId="2" fillId="0" borderId="11" xfId="0" applyNumberFormat="1" applyFont="1" applyBorder="1" applyAlignment="1">
      <alignment horizontal="center"/>
    </xf>
    <xf numFmtId="0" fontId="2" fillId="0" borderId="14" xfId="0" applyFont="1" applyBorder="1" applyAlignment="1">
      <alignment horizontal="left"/>
    </xf>
    <xf numFmtId="0" fontId="2" fillId="0" borderId="17" xfId="0" applyFont="1" applyBorder="1" applyAlignment="1">
      <alignment horizontal="left"/>
    </xf>
    <xf numFmtId="0" fontId="2" fillId="0" borderId="15" xfId="0" applyFont="1" applyBorder="1" applyAlignment="1">
      <alignment horizontal="left"/>
    </xf>
    <xf numFmtId="0" fontId="2" fillId="0" borderId="11" xfId="0" applyFont="1" applyBorder="1" applyAlignment="1">
      <alignment horizontal="center" vertical="center"/>
    </xf>
    <xf numFmtId="0" fontId="0" fillId="0" borderId="11" xfId="0" applyFont="1" applyBorder="1" applyAlignment="1">
      <alignment horizontal="center"/>
    </xf>
    <xf numFmtId="0" fontId="2" fillId="0" borderId="0" xfId="0" applyFont="1" applyAlignment="1">
      <alignment horizontal="left" vertical="top" wrapText="1"/>
    </xf>
    <xf numFmtId="0" fontId="16" fillId="0" borderId="11" xfId="0" applyFont="1" applyBorder="1" applyAlignment="1" quotePrefix="1">
      <alignment horizontal="center" vertical="top" wrapText="1"/>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11" xfId="0" applyFont="1" applyBorder="1" applyAlignment="1">
      <alignment horizontal="left"/>
    </xf>
    <xf numFmtId="0" fontId="2" fillId="0" borderId="11" xfId="0" applyFont="1" applyBorder="1" applyAlignment="1">
      <alignment horizontal="center" vertical="top"/>
    </xf>
    <xf numFmtId="0" fontId="16" fillId="0" borderId="14" xfId="0" applyFont="1" applyBorder="1" applyAlignment="1" quotePrefix="1">
      <alignment horizontal="center" vertical="top" wrapText="1"/>
    </xf>
    <xf numFmtId="0" fontId="16" fillId="0" borderId="17"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0" xfId="0" applyFont="1" applyBorder="1" applyAlignment="1">
      <alignment horizontal="center"/>
    </xf>
    <xf numFmtId="0" fontId="12" fillId="0" borderId="0" xfId="0" applyFont="1" applyBorder="1" applyAlignment="1">
      <alignment horizontal="center"/>
    </xf>
    <xf numFmtId="0" fontId="14" fillId="0" borderId="11" xfId="0" applyFont="1" applyBorder="1" applyAlignment="1">
      <alignment horizontal="center"/>
    </xf>
    <xf numFmtId="0" fontId="14" fillId="0" borderId="11" xfId="0" applyFont="1" applyBorder="1" applyAlignment="1">
      <alignment horizontal="center" wrapText="1"/>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2" fillId="0" borderId="14" xfId="0" applyFont="1" applyBorder="1" applyAlignment="1">
      <alignment horizontal="right"/>
    </xf>
    <xf numFmtId="0" fontId="2" fillId="0" borderId="15" xfId="0" applyFont="1" applyBorder="1" applyAlignment="1">
      <alignment horizontal="right"/>
    </xf>
    <xf numFmtId="0" fontId="14" fillId="0" borderId="22" xfId="0" applyFont="1" applyBorder="1" applyAlignment="1">
      <alignment horizontal="center"/>
    </xf>
    <xf numFmtId="0" fontId="14" fillId="0" borderId="23" xfId="0" applyFont="1" applyBorder="1" applyAlignment="1">
      <alignment horizontal="center"/>
    </xf>
    <xf numFmtId="0" fontId="14" fillId="0" borderId="19" xfId="0" applyFont="1" applyBorder="1" applyAlignment="1">
      <alignment horizontal="center"/>
    </xf>
    <xf numFmtId="0" fontId="14" fillId="0" borderId="24" xfId="0" applyFont="1" applyBorder="1" applyAlignment="1">
      <alignment horizontal="center"/>
    </xf>
    <xf numFmtId="0" fontId="14" fillId="0" borderId="14" xfId="0" applyFont="1" applyBorder="1" applyAlignment="1">
      <alignment horizontal="center"/>
    </xf>
    <xf numFmtId="0" fontId="14" fillId="0" borderId="17"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center" wrapText="1"/>
    </xf>
    <xf numFmtId="0" fontId="14" fillId="0" borderId="17" xfId="0" applyFont="1" applyBorder="1" applyAlignment="1">
      <alignment horizontal="center" wrapText="1"/>
    </xf>
    <xf numFmtId="0" fontId="14" fillId="0" borderId="15" xfId="0" applyFont="1" applyBorder="1" applyAlignment="1">
      <alignment horizontal="center" wrapText="1"/>
    </xf>
    <xf numFmtId="0" fontId="2" fillId="0" borderId="17" xfId="0" applyFont="1" applyBorder="1" applyAlignment="1">
      <alignment horizontal="center" vertical="top" wrapText="1"/>
    </xf>
    <xf numFmtId="0" fontId="14" fillId="0" borderId="0" xfId="0" applyFont="1" applyBorder="1" applyAlignment="1">
      <alignment horizontal="left" wrapText="1"/>
    </xf>
    <xf numFmtId="0" fontId="2" fillId="0" borderId="10"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50" fillId="0" borderId="16" xfId="0" applyFont="1" applyBorder="1" applyAlignment="1">
      <alignment horizont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right" vertical="center"/>
    </xf>
    <xf numFmtId="182" fontId="0" fillId="0" borderId="11" xfId="0" applyNumberFormat="1" applyFont="1" applyBorder="1" applyAlignment="1">
      <alignment horizontal="center" vertical="center"/>
    </xf>
    <xf numFmtId="182" fontId="0" fillId="0" borderId="11" xfId="0" applyNumberFormat="1" applyFont="1" applyBorder="1" applyAlignment="1">
      <alignment horizontal="right" vertical="center"/>
    </xf>
    <xf numFmtId="0" fontId="7" fillId="0" borderId="14" xfId="71" applyFont="1" applyBorder="1" applyAlignment="1">
      <alignment horizontal="left" vertical="center" wrapText="1"/>
      <protection/>
    </xf>
    <xf numFmtId="0" fontId="7" fillId="0" borderId="17" xfId="71" applyFont="1" applyBorder="1" applyAlignment="1">
      <alignment horizontal="left" vertical="center" wrapText="1"/>
      <protection/>
    </xf>
    <xf numFmtId="0" fontId="7" fillId="0" borderId="15" xfId="71" applyFont="1" applyBorder="1" applyAlignment="1">
      <alignment horizontal="left" vertical="center" wrapText="1"/>
      <protection/>
    </xf>
    <xf numFmtId="2" fontId="0" fillId="0" borderId="10" xfId="0"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12" xfId="0" applyFont="1" applyBorder="1" applyAlignment="1">
      <alignment horizontal="right" vertical="center"/>
    </xf>
    <xf numFmtId="0" fontId="2" fillId="0" borderId="14" xfId="71" applyFont="1" applyBorder="1" applyAlignment="1">
      <alignment horizontal="center" vertical="center"/>
      <protection/>
    </xf>
    <xf numFmtId="0" fontId="2" fillId="0" borderId="15" xfId="71" applyFont="1" applyBorder="1" applyAlignment="1">
      <alignment horizontal="center" vertical="center"/>
      <protection/>
    </xf>
    <xf numFmtId="0" fontId="2" fillId="0" borderId="14" xfId="71" applyFont="1" applyFill="1" applyBorder="1" applyAlignment="1">
      <alignment horizontal="center" vertical="center" wrapText="1"/>
      <protection/>
    </xf>
    <xf numFmtId="0" fontId="2" fillId="0" borderId="15" xfId="71" applyFont="1" applyFill="1" applyBorder="1" applyAlignment="1">
      <alignment horizontal="center" vertical="center" wrapText="1"/>
      <protection/>
    </xf>
    <xf numFmtId="0" fontId="6" fillId="0" borderId="0" xfId="71" applyFont="1" applyAlignment="1">
      <alignment horizontal="center"/>
      <protection/>
    </xf>
    <xf numFmtId="0" fontId="10" fillId="0" borderId="0" xfId="71" applyFont="1" applyAlignment="1">
      <alignment horizontal="center"/>
      <protection/>
    </xf>
    <xf numFmtId="0" fontId="5" fillId="0" borderId="0" xfId="71" applyFont="1" applyAlignment="1">
      <alignment horizontal="center"/>
      <protection/>
    </xf>
    <xf numFmtId="0" fontId="11" fillId="0" borderId="11" xfId="73" applyFont="1" applyBorder="1" applyAlignment="1">
      <alignment horizontal="center" vertical="top" wrapText="1"/>
      <protection/>
    </xf>
    <xf numFmtId="0" fontId="12" fillId="0" borderId="0" xfId="73" applyFont="1" applyAlignment="1">
      <alignment horizontal="left"/>
      <protection/>
    </xf>
    <xf numFmtId="0" fontId="14" fillId="0" borderId="11" xfId="73" applyFont="1" applyBorder="1" applyAlignment="1">
      <alignment horizontal="center" vertical="center" wrapText="1"/>
      <protection/>
    </xf>
    <xf numFmtId="0" fontId="14" fillId="0" borderId="22" xfId="73" applyFont="1" applyBorder="1" applyAlignment="1">
      <alignment horizontal="center" vertical="center" wrapText="1"/>
      <protection/>
    </xf>
    <xf numFmtId="0" fontId="14" fillId="0" borderId="21" xfId="73" applyFont="1" applyBorder="1" applyAlignment="1">
      <alignment horizontal="center" vertical="center" wrapText="1"/>
      <protection/>
    </xf>
    <xf numFmtId="0" fontId="14" fillId="0" borderId="23" xfId="73" applyFont="1" applyBorder="1" applyAlignment="1">
      <alignment horizontal="center" vertical="center" wrapText="1"/>
      <protection/>
    </xf>
    <xf numFmtId="0" fontId="14" fillId="0" borderId="19" xfId="73" applyFont="1" applyBorder="1" applyAlignment="1">
      <alignment horizontal="center" vertical="center" wrapText="1"/>
      <protection/>
    </xf>
    <xf numFmtId="0" fontId="14" fillId="0" borderId="16" xfId="73" applyFont="1" applyBorder="1" applyAlignment="1">
      <alignment horizontal="center" vertical="center" wrapText="1"/>
      <protection/>
    </xf>
    <xf numFmtId="0" fontId="14" fillId="0" borderId="24" xfId="73" applyFont="1" applyBorder="1" applyAlignment="1">
      <alignment horizontal="center" vertical="center" wrapText="1"/>
      <protection/>
    </xf>
    <xf numFmtId="0" fontId="14" fillId="0" borderId="10" xfId="73" applyFont="1" applyBorder="1" applyAlignment="1">
      <alignment horizontal="center" vertical="center" wrapText="1"/>
      <protection/>
    </xf>
    <xf numFmtId="0" fontId="14" fillId="0" borderId="18" xfId="73" applyFont="1" applyBorder="1" applyAlignment="1">
      <alignment horizontal="center" vertical="center" wrapText="1"/>
      <protection/>
    </xf>
    <xf numFmtId="0" fontId="14" fillId="0" borderId="12" xfId="73" applyFont="1" applyBorder="1" applyAlignment="1">
      <alignment horizontal="center" vertical="center" wrapText="1"/>
      <protection/>
    </xf>
    <xf numFmtId="0" fontId="17" fillId="0" borderId="0" xfId="71" applyFont="1" applyAlignment="1">
      <alignment horizontal="center"/>
      <protection/>
    </xf>
    <xf numFmtId="0" fontId="18" fillId="0" borderId="0" xfId="71" applyFont="1" applyAlignment="1">
      <alignment horizontal="center"/>
      <protection/>
    </xf>
    <xf numFmtId="0" fontId="2" fillId="0" borderId="0" xfId="73" applyFont="1" applyAlignment="1">
      <alignment horizontal="left"/>
      <protection/>
    </xf>
    <xf numFmtId="0" fontId="16" fillId="0" borderId="16" xfId="73" applyFont="1" applyBorder="1" applyAlignment="1">
      <alignment horizontal="right"/>
      <protection/>
    </xf>
    <xf numFmtId="0" fontId="27" fillId="0" borderId="0" xfId="0" applyFont="1" applyAlignment="1">
      <alignment horizontal="center"/>
    </xf>
    <xf numFmtId="0" fontId="20" fillId="0" borderId="0" xfId="0" applyFont="1" applyAlignment="1">
      <alignment horizontal="center"/>
    </xf>
    <xf numFmtId="0" fontId="19" fillId="0" borderId="0" xfId="0" applyFont="1" applyAlignment="1">
      <alignment horizontal="center" wrapText="1"/>
    </xf>
    <xf numFmtId="0" fontId="23" fillId="0" borderId="14" xfId="0" applyFont="1" applyBorder="1" applyAlignment="1">
      <alignment horizontal="center" vertical="top" wrapText="1"/>
    </xf>
    <xf numFmtId="0" fontId="23" fillId="0" borderId="15" xfId="0" applyFont="1" applyBorder="1" applyAlignment="1" quotePrefix="1">
      <alignment horizontal="center" vertical="top" wrapText="1"/>
    </xf>
    <xf numFmtId="0" fontId="16" fillId="0" borderId="0" xfId="0" applyFont="1" applyBorder="1" applyAlignment="1">
      <alignment horizontal="center"/>
    </xf>
    <xf numFmtId="0" fontId="3" fillId="0" borderId="0" xfId="0" applyFont="1" applyAlignment="1">
      <alignment horizontal="center"/>
    </xf>
    <xf numFmtId="0" fontId="2" fillId="0" borderId="13" xfId="0" applyFont="1" applyBorder="1" applyAlignment="1">
      <alignment horizontal="center"/>
    </xf>
    <xf numFmtId="0" fontId="16" fillId="0" borderId="16" xfId="0" applyFont="1" applyBorder="1" applyAlignment="1">
      <alignment horizontal="center"/>
    </xf>
    <xf numFmtId="0" fontId="11" fillId="0" borderId="0" xfId="0" applyFont="1" applyAlignment="1">
      <alignment horizontal="center"/>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0" fillId="0" borderId="0" xfId="0" applyFont="1" applyAlignment="1">
      <alignment horizontal="center"/>
    </xf>
    <xf numFmtId="0" fontId="2" fillId="0" borderId="17" xfId="0" applyFont="1" applyBorder="1" applyAlignment="1">
      <alignment horizontal="center"/>
    </xf>
    <xf numFmtId="0" fontId="16" fillId="0" borderId="16" xfId="0" applyFont="1" applyBorder="1" applyAlignment="1">
      <alignment horizontal="right"/>
    </xf>
    <xf numFmtId="0" fontId="2" fillId="0" borderId="15" xfId="0" applyFont="1" applyBorder="1" applyAlignment="1">
      <alignment horizontal="center" vertical="center" wrapText="1"/>
    </xf>
    <xf numFmtId="0" fontId="5" fillId="0" borderId="0" xfId="0" applyFont="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Font="1" applyAlignment="1">
      <alignment/>
    </xf>
    <xf numFmtId="0" fontId="4" fillId="0" borderId="22" xfId="0" applyFont="1" applyBorder="1" applyAlignment="1">
      <alignment horizontal="center" vertical="center" textRotation="45"/>
    </xf>
    <xf numFmtId="0" fontId="4" fillId="0" borderId="21" xfId="0" applyFont="1" applyBorder="1" applyAlignment="1">
      <alignment horizontal="center" vertical="center" textRotation="45"/>
    </xf>
    <xf numFmtId="0" fontId="4" fillId="0" borderId="23" xfId="0" applyFont="1" applyBorder="1" applyAlignment="1">
      <alignment horizontal="center" vertical="center" textRotation="45"/>
    </xf>
    <xf numFmtId="0" fontId="4" fillId="0" borderId="20" xfId="0" applyFont="1" applyBorder="1" applyAlignment="1">
      <alignment horizontal="center" vertical="center" textRotation="45"/>
    </xf>
    <xf numFmtId="0" fontId="4" fillId="0" borderId="0" xfId="0" applyFont="1" applyBorder="1" applyAlignment="1">
      <alignment horizontal="center" vertical="center" textRotation="45"/>
    </xf>
    <xf numFmtId="0" fontId="4" fillId="0" borderId="25" xfId="0" applyFont="1" applyBorder="1" applyAlignment="1">
      <alignment horizontal="center" vertical="center" textRotation="45"/>
    </xf>
    <xf numFmtId="0" fontId="4" fillId="0" borderId="19" xfId="0" applyFont="1" applyBorder="1" applyAlignment="1">
      <alignment horizontal="center" vertical="center" textRotation="45"/>
    </xf>
    <xf numFmtId="0" fontId="4" fillId="0" borderId="16" xfId="0" applyFont="1" applyBorder="1" applyAlignment="1">
      <alignment horizontal="center" vertical="center" textRotation="45"/>
    </xf>
    <xf numFmtId="0" fontId="4" fillId="0" borderId="24" xfId="0" applyFont="1" applyBorder="1" applyAlignment="1">
      <alignment horizontal="center" vertical="center" textRotation="45"/>
    </xf>
    <xf numFmtId="0" fontId="13" fillId="0" borderId="0" xfId="0" applyFont="1" applyAlignment="1">
      <alignment horizontal="left"/>
    </xf>
    <xf numFmtId="0" fontId="4" fillId="0" borderId="22" xfId="0" applyFont="1" applyBorder="1" applyAlignment="1">
      <alignment horizontal="center" vertical="center" textRotation="44"/>
    </xf>
    <xf numFmtId="0" fontId="4" fillId="0" borderId="21" xfId="0" applyFont="1" applyBorder="1" applyAlignment="1">
      <alignment horizontal="center" vertical="center" textRotation="44"/>
    </xf>
    <xf numFmtId="0" fontId="4" fillId="0" borderId="23" xfId="0" applyFont="1" applyBorder="1" applyAlignment="1">
      <alignment horizontal="center" vertical="center" textRotation="44"/>
    </xf>
    <xf numFmtId="0" fontId="4" fillId="0" borderId="20" xfId="0" applyFont="1" applyBorder="1" applyAlignment="1">
      <alignment horizontal="center" vertical="center" textRotation="44"/>
    </xf>
    <xf numFmtId="0" fontId="4" fillId="0" borderId="0" xfId="0" applyFont="1" applyBorder="1" applyAlignment="1">
      <alignment horizontal="center" vertical="center" textRotation="44"/>
    </xf>
    <xf numFmtId="0" fontId="4" fillId="0" borderId="25" xfId="0" applyFont="1" applyBorder="1" applyAlignment="1">
      <alignment horizontal="center" vertical="center" textRotation="44"/>
    </xf>
    <xf numFmtId="0" fontId="4" fillId="0" borderId="19" xfId="0" applyFont="1" applyBorder="1" applyAlignment="1">
      <alignment horizontal="center" vertical="center" textRotation="44"/>
    </xf>
    <xf numFmtId="0" fontId="4" fillId="0" borderId="16" xfId="0" applyFont="1" applyBorder="1" applyAlignment="1">
      <alignment horizontal="center" vertical="center" textRotation="44"/>
    </xf>
    <xf numFmtId="0" fontId="4" fillId="0" borderId="24" xfId="0" applyFont="1" applyBorder="1" applyAlignment="1">
      <alignment horizontal="center" vertical="center" textRotation="44"/>
    </xf>
    <xf numFmtId="0" fontId="2" fillId="0" borderId="0" xfId="0" applyFont="1" applyBorder="1" applyAlignment="1">
      <alignment horizontal="right"/>
    </xf>
    <xf numFmtId="0" fontId="4" fillId="0" borderId="0" xfId="0" applyFont="1" applyAlignment="1">
      <alignment horizontal="center"/>
    </xf>
    <xf numFmtId="0" fontId="2" fillId="0" borderId="11" xfId="62" applyFont="1" applyBorder="1" applyAlignment="1">
      <alignment horizontal="center" vertical="top" wrapText="1"/>
      <protection/>
    </xf>
    <xf numFmtId="0" fontId="2" fillId="0" borderId="11" xfId="62" applyFont="1" applyBorder="1" applyAlignment="1">
      <alignment horizontal="center" vertical="center" wrapText="1"/>
      <protection/>
    </xf>
    <xf numFmtId="0" fontId="2" fillId="0" borderId="11" xfId="62" applyFont="1" applyBorder="1" applyAlignment="1">
      <alignment horizontal="center"/>
      <protection/>
    </xf>
    <xf numFmtId="0" fontId="13" fillId="0" borderId="0" xfId="0" applyFont="1" applyFill="1" applyAlignment="1">
      <alignment horizontal="right"/>
    </xf>
    <xf numFmtId="0" fontId="2" fillId="33" borderId="11" xfId="62" applyFont="1" applyFill="1" applyBorder="1" applyAlignment="1">
      <alignment horizontal="center" vertical="top" wrapText="1"/>
      <protection/>
    </xf>
    <xf numFmtId="0" fontId="7" fillId="0" borderId="0" xfId="62" applyFont="1" applyFill="1" applyBorder="1" applyAlignment="1">
      <alignment horizontal="center"/>
      <protection/>
    </xf>
    <xf numFmtId="0" fontId="16" fillId="0" borderId="16" xfId="0" applyFont="1" applyFill="1" applyBorder="1" applyAlignment="1">
      <alignment horizontal="right"/>
    </xf>
    <xf numFmtId="0" fontId="6" fillId="0" borderId="0" xfId="62" applyFont="1" applyFill="1" applyAlignment="1">
      <alignment horizontal="center"/>
      <protection/>
    </xf>
    <xf numFmtId="0" fontId="5" fillId="0" borderId="0" xfId="62" applyFont="1" applyFill="1" applyAlignment="1">
      <alignment horizontal="center"/>
      <protection/>
    </xf>
    <xf numFmtId="0" fontId="10" fillId="0" borderId="0" xfId="62" applyFont="1" applyFill="1" applyAlignment="1">
      <alignment horizontal="center"/>
      <protection/>
    </xf>
    <xf numFmtId="0" fontId="4" fillId="0" borderId="22" xfId="0" applyFont="1" applyBorder="1" applyAlignment="1">
      <alignment horizontal="center" vertical="center" textRotation="45" wrapText="1"/>
    </xf>
    <xf numFmtId="0" fontId="4" fillId="0" borderId="21" xfId="0" applyFont="1" applyBorder="1" applyAlignment="1">
      <alignment horizontal="center" vertical="center" textRotation="45" wrapText="1"/>
    </xf>
    <xf numFmtId="0" fontId="4" fillId="0" borderId="23" xfId="0" applyFont="1" applyBorder="1" applyAlignment="1">
      <alignment horizontal="center" vertical="center" textRotation="45" wrapText="1"/>
    </xf>
    <xf numFmtId="0" fontId="4" fillId="0" borderId="20" xfId="0" applyFont="1" applyBorder="1" applyAlignment="1">
      <alignment horizontal="center" vertical="center" textRotation="45" wrapText="1"/>
    </xf>
    <xf numFmtId="0" fontId="4" fillId="0" borderId="0" xfId="0" applyFont="1" applyBorder="1" applyAlignment="1">
      <alignment horizontal="center" vertical="center" textRotation="45" wrapText="1"/>
    </xf>
    <xf numFmtId="0" fontId="4" fillId="0" borderId="25" xfId="0" applyFont="1" applyBorder="1" applyAlignment="1">
      <alignment horizontal="center" vertical="center" textRotation="45" wrapText="1"/>
    </xf>
    <xf numFmtId="0" fontId="4" fillId="0" borderId="19" xfId="0" applyFont="1" applyBorder="1" applyAlignment="1">
      <alignment horizontal="center" vertical="center" textRotation="45" wrapText="1"/>
    </xf>
    <xf numFmtId="0" fontId="4" fillId="0" borderId="16" xfId="0" applyFont="1" applyBorder="1" applyAlignment="1">
      <alignment horizontal="center" vertical="center" textRotation="45" wrapText="1"/>
    </xf>
    <xf numFmtId="0" fontId="4" fillId="0" borderId="24" xfId="0" applyFont="1" applyBorder="1" applyAlignment="1">
      <alignment horizontal="center" vertical="center" textRotation="45" wrapText="1"/>
    </xf>
    <xf numFmtId="0" fontId="2" fillId="0" borderId="22"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Fill="1" applyBorder="1" applyAlignment="1">
      <alignment horizontal="center" vertical="top" wrapText="1"/>
    </xf>
    <xf numFmtId="0" fontId="0" fillId="0" borderId="0" xfId="0" applyFont="1" applyBorder="1" applyAlignment="1">
      <alignment horizontal="left" vertical="top" wrapText="1"/>
    </xf>
    <xf numFmtId="0" fontId="2" fillId="0" borderId="14"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0" xfId="0" applyFont="1" applyAlignment="1">
      <alignment horizontal="right"/>
    </xf>
    <xf numFmtId="0" fontId="6" fillId="0" borderId="0" xfId="0" applyFont="1" applyAlignment="1">
      <alignment horizontal="left"/>
    </xf>
    <xf numFmtId="0" fontId="2" fillId="0" borderId="14" xfId="0" applyFont="1" applyBorder="1" applyAlignment="1">
      <alignment horizontal="center" vertical="top"/>
    </xf>
    <xf numFmtId="0" fontId="2" fillId="0" borderId="17" xfId="0" applyFont="1" applyBorder="1" applyAlignment="1">
      <alignment horizontal="center" vertical="top"/>
    </xf>
    <xf numFmtId="0" fontId="2" fillId="0" borderId="15" xfId="0" applyFont="1" applyBorder="1" applyAlignment="1">
      <alignment horizontal="center" vertical="top"/>
    </xf>
    <xf numFmtId="0" fontId="28" fillId="0" borderId="22" xfId="0" applyFont="1" applyBorder="1" applyAlignment="1">
      <alignment horizontal="center" vertical="center"/>
    </xf>
    <xf numFmtId="0" fontId="28" fillId="0" borderId="21" xfId="0" applyFont="1" applyBorder="1" applyAlignment="1">
      <alignment horizontal="center" vertical="center"/>
    </xf>
    <xf numFmtId="0" fontId="28" fillId="0" borderId="23" xfId="0" applyFont="1" applyBorder="1" applyAlignment="1">
      <alignment horizontal="center" vertical="center"/>
    </xf>
    <xf numFmtId="0" fontId="28" fillId="0" borderId="20" xfId="0" applyFont="1" applyBorder="1" applyAlignment="1">
      <alignment horizontal="center" vertical="center"/>
    </xf>
    <xf numFmtId="0" fontId="28" fillId="0" borderId="0" xfId="0" applyFont="1" applyBorder="1" applyAlignment="1">
      <alignment horizontal="center" vertical="center"/>
    </xf>
    <xf numFmtId="0" fontId="28" fillId="0" borderId="25" xfId="0" applyFont="1" applyBorder="1" applyAlignment="1">
      <alignment horizontal="center" vertical="center"/>
    </xf>
    <xf numFmtId="0" fontId="28" fillId="0" borderId="19" xfId="0" applyFont="1" applyBorder="1" applyAlignment="1">
      <alignment horizontal="center" vertical="center"/>
    </xf>
    <xf numFmtId="0" fontId="28" fillId="0" borderId="16" xfId="0" applyFont="1" applyBorder="1" applyAlignment="1">
      <alignment horizontal="center" vertical="center"/>
    </xf>
    <xf numFmtId="0" fontId="28" fillId="0" borderId="24" xfId="0" applyFont="1" applyBorder="1" applyAlignment="1">
      <alignment horizontal="center" vertical="center"/>
    </xf>
    <xf numFmtId="0" fontId="7" fillId="0" borderId="0" xfId="0" applyFont="1" applyAlignment="1">
      <alignment horizontal="center" wrapText="1"/>
    </xf>
    <xf numFmtId="0" fontId="2" fillId="0" borderId="0" xfId="0" applyFont="1" applyAlignment="1">
      <alignment horizontal="center" vertical="top" wrapText="1"/>
    </xf>
    <xf numFmtId="182" fontId="0"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182" fontId="0" fillId="0" borderId="10" xfId="0" applyNumberFormat="1" applyFont="1" applyBorder="1" applyAlignment="1">
      <alignment horizontal="center" vertical="center" wrapText="1"/>
    </xf>
    <xf numFmtId="0" fontId="2" fillId="0" borderId="0" xfId="74" applyFont="1" applyFill="1" applyAlignment="1">
      <alignment horizontal="center" vertical="center" wrapText="1"/>
      <protection/>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2" fillId="0" borderId="0" xfId="74" applyFont="1" applyFill="1" applyAlignment="1">
      <alignment horizontal="center"/>
      <protection/>
    </xf>
    <xf numFmtId="0" fontId="29" fillId="0" borderId="11" xfId="74" applyFont="1" applyBorder="1" applyAlignment="1">
      <alignment horizontal="left" vertical="center" wrapText="1"/>
      <protection/>
    </xf>
    <xf numFmtId="0" fontId="19" fillId="0" borderId="0" xfId="0" applyFont="1" applyAlignment="1">
      <alignment horizontal="center"/>
    </xf>
    <xf numFmtId="0" fontId="49" fillId="0" borderId="11" xfId="0" applyFont="1" applyBorder="1" applyAlignment="1">
      <alignment horizontal="center" vertical="top" wrapText="1"/>
    </xf>
    <xf numFmtId="0" fontId="49" fillId="0" borderId="10" xfId="0" applyFont="1" applyBorder="1" applyAlignment="1">
      <alignment horizontal="center" vertical="top" wrapText="1"/>
    </xf>
    <xf numFmtId="0" fontId="49" fillId="0" borderId="18" xfId="0" applyFont="1" applyBorder="1" applyAlignment="1">
      <alignment horizontal="center" vertical="top" wrapText="1"/>
    </xf>
    <xf numFmtId="0" fontId="49" fillId="0" borderId="12" xfId="0" applyFont="1" applyBorder="1" applyAlignment="1">
      <alignment horizontal="center" vertical="top" wrapText="1"/>
    </xf>
    <xf numFmtId="0" fontId="24" fillId="0" borderId="0" xfId="0" applyFont="1" applyAlignment="1">
      <alignment horizontal="center"/>
    </xf>
    <xf numFmtId="0" fontId="51" fillId="0" borderId="22" xfId="74" applyFont="1" applyBorder="1" applyAlignment="1">
      <alignment horizontal="left" vertical="center" wrapText="1"/>
      <protection/>
    </xf>
    <xf numFmtId="0" fontId="0" fillId="0" borderId="21" xfId="0" applyFont="1" applyBorder="1" applyAlignment="1">
      <alignment/>
    </xf>
    <xf numFmtId="0" fontId="0" fillId="0" borderId="23" xfId="0" applyFont="1" applyBorder="1" applyAlignment="1">
      <alignment/>
    </xf>
    <xf numFmtId="0" fontId="0" fillId="0" borderId="20" xfId="0" applyFont="1" applyBorder="1" applyAlignment="1">
      <alignment/>
    </xf>
    <xf numFmtId="0" fontId="0" fillId="0" borderId="25" xfId="0" applyFont="1" applyBorder="1" applyAlignment="1">
      <alignment/>
    </xf>
    <xf numFmtId="0" fontId="0" fillId="0" borderId="19" xfId="0" applyFont="1" applyBorder="1" applyAlignment="1">
      <alignment/>
    </xf>
    <xf numFmtId="0" fontId="0" fillId="0" borderId="16" xfId="0" applyFont="1" applyBorder="1" applyAlignment="1">
      <alignment/>
    </xf>
    <xf numFmtId="0" fontId="0" fillId="0" borderId="24" xfId="0" applyFont="1" applyBorder="1" applyAlignment="1">
      <alignment/>
    </xf>
    <xf numFmtId="0" fontId="45" fillId="0" borderId="0" xfId="0" applyFont="1" applyBorder="1" applyAlignment="1">
      <alignment horizontal="center" vertical="top"/>
    </xf>
    <xf numFmtId="0" fontId="22" fillId="0" borderId="11" xfId="0" applyFont="1" applyBorder="1" applyAlignment="1">
      <alignment horizontal="center" vertical="center" wrapText="1"/>
    </xf>
    <xf numFmtId="0" fontId="2" fillId="33" borderId="10" xfId="62" applyFont="1" applyFill="1" applyBorder="1" applyAlignment="1" quotePrefix="1">
      <alignment horizontal="center" vertical="center" wrapText="1"/>
      <protection/>
    </xf>
    <xf numFmtId="0" fontId="2" fillId="33" borderId="12" xfId="62" applyFont="1" applyFill="1" applyBorder="1" applyAlignment="1" quotePrefix="1">
      <alignment horizontal="center" vertical="center" wrapText="1"/>
      <protection/>
    </xf>
    <xf numFmtId="0" fontId="2" fillId="0" borderId="14" xfId="62" applyFont="1" applyBorder="1" applyAlignment="1">
      <alignment horizontal="left" vertical="center"/>
      <protection/>
    </xf>
    <xf numFmtId="0" fontId="2" fillId="0" borderId="17" xfId="62" applyFont="1" applyBorder="1" applyAlignment="1">
      <alignment horizontal="left" vertical="center"/>
      <protection/>
    </xf>
    <xf numFmtId="0" fontId="2" fillId="0" borderId="15" xfId="62" applyFont="1" applyBorder="1" applyAlignment="1">
      <alignment horizontal="left" vertical="center"/>
      <protection/>
    </xf>
    <xf numFmtId="0" fontId="6" fillId="0" borderId="0" xfId="62" applyFont="1" applyAlignment="1">
      <alignment horizontal="center"/>
      <protection/>
    </xf>
    <xf numFmtId="0" fontId="10" fillId="0" borderId="0" xfId="62" applyFont="1" applyAlignment="1">
      <alignment horizontal="center"/>
      <protection/>
    </xf>
    <xf numFmtId="0" fontId="5" fillId="0" borderId="0" xfId="62" applyFont="1" applyAlignment="1">
      <alignment horizontal="center"/>
      <protection/>
    </xf>
    <xf numFmtId="0" fontId="5" fillId="0" borderId="0" xfId="62" applyFont="1" applyAlignment="1">
      <alignment/>
      <protection/>
    </xf>
    <xf numFmtId="0" fontId="2" fillId="0" borderId="0" xfId="62" applyFont="1" applyAlignment="1">
      <alignment horizontal="left"/>
      <protection/>
    </xf>
    <xf numFmtId="0" fontId="2" fillId="33" borderId="14" xfId="62" applyFont="1" applyFill="1" applyBorder="1" applyAlignment="1" quotePrefix="1">
      <alignment horizontal="center" vertical="center" wrapText="1"/>
      <protection/>
    </xf>
    <xf numFmtId="0" fontId="2" fillId="33" borderId="17" xfId="62" applyFont="1" applyFill="1" applyBorder="1" applyAlignment="1" quotePrefix="1">
      <alignment horizontal="center" vertical="center" wrapText="1"/>
      <protection/>
    </xf>
    <xf numFmtId="0" fontId="2" fillId="33" borderId="15" xfId="62" applyFont="1" applyFill="1" applyBorder="1" applyAlignment="1" quotePrefix="1">
      <alignment horizontal="center" vertical="center" wrapText="1"/>
      <protection/>
    </xf>
    <xf numFmtId="0" fontId="0" fillId="0" borderId="11" xfId="0" applyFont="1" applyBorder="1" applyAlignment="1">
      <alignment horizontal="center" vertical="top" wrapText="1"/>
    </xf>
    <xf numFmtId="0" fontId="34" fillId="0" borderId="14" xfId="0" applyFont="1" applyBorder="1" applyAlignment="1">
      <alignment horizontal="center"/>
    </xf>
    <xf numFmtId="0" fontId="34" fillId="0" borderId="17" xfId="0" applyFont="1" applyBorder="1" applyAlignment="1">
      <alignment horizontal="center"/>
    </xf>
    <xf numFmtId="0" fontId="0" fillId="0" borderId="10" xfId="0" applyFont="1" applyBorder="1" applyAlignment="1">
      <alignment horizontal="center" vertical="top" wrapText="1"/>
    </xf>
    <xf numFmtId="0" fontId="0" fillId="0" borderId="18" xfId="0" applyFont="1" applyBorder="1" applyAlignment="1">
      <alignment horizontal="center" vertical="top" wrapText="1"/>
    </xf>
    <xf numFmtId="0" fontId="0" fillId="0" borderId="12" xfId="0" applyFont="1" applyBorder="1" applyAlignment="1">
      <alignment horizontal="center" vertical="top" wrapText="1"/>
    </xf>
    <xf numFmtId="0" fontId="50" fillId="0" borderId="0" xfId="0" applyFont="1" applyAlignment="1">
      <alignment horizontal="right"/>
    </xf>
    <xf numFmtId="0" fontId="22" fillId="0" borderId="11" xfId="0" applyFont="1" applyBorder="1" applyAlignment="1">
      <alignment horizontal="center" vertical="top" wrapText="1"/>
    </xf>
    <xf numFmtId="0" fontId="0" fillId="0" borderId="11" xfId="74" applyFont="1" applyBorder="1" applyAlignment="1">
      <alignment horizontal="center" vertical="center" wrapText="1"/>
      <protection/>
    </xf>
    <xf numFmtId="0" fontId="15" fillId="0" borderId="0" xfId="0" applyFont="1" applyAlignment="1">
      <alignment horizontal="center" wrapText="1"/>
    </xf>
    <xf numFmtId="1" fontId="0" fillId="0" borderId="11" xfId="74" applyNumberFormat="1" applyFont="1" applyBorder="1" applyAlignment="1">
      <alignment horizontal="right" vertical="center" wrapText="1"/>
      <protection/>
    </xf>
    <xf numFmtId="1" fontId="0" fillId="0" borderId="11" xfId="74" applyNumberFormat="1" applyFont="1" applyBorder="1" applyAlignment="1">
      <alignment vertical="center" wrapText="1"/>
      <protection/>
    </xf>
    <xf numFmtId="2" fontId="0" fillId="0" borderId="11" xfId="74" applyNumberFormat="1" applyFont="1" applyBorder="1" applyAlignment="1">
      <alignment horizontal="right" vertical="center" wrapText="1"/>
      <protection/>
    </xf>
    <xf numFmtId="2" fontId="0" fillId="0" borderId="11" xfId="74" applyNumberFormat="1" applyFont="1" applyBorder="1" applyAlignment="1">
      <alignment vertical="center" wrapText="1"/>
      <protection/>
    </xf>
    <xf numFmtId="0" fontId="2" fillId="0" borderId="0" xfId="0" applyFont="1" applyAlignment="1">
      <alignment horizontal="right"/>
    </xf>
    <xf numFmtId="0" fontId="0" fillId="0" borderId="11" xfId="74" applyFont="1" applyBorder="1" applyAlignment="1">
      <alignment horizontal="right" vertical="center" wrapText="1"/>
      <protection/>
    </xf>
    <xf numFmtId="0" fontId="15" fillId="0" borderId="0" xfId="0" applyFont="1" applyAlignment="1">
      <alignment horizontal="center" vertical="top" wrapText="1"/>
    </xf>
    <xf numFmtId="0" fontId="5" fillId="0" borderId="0" xfId="0" applyFont="1" applyAlignment="1">
      <alignment horizontal="center" vertical="top" wrapText="1"/>
    </xf>
    <xf numFmtId="0" fontId="23" fillId="0" borderId="0" xfId="0" applyFont="1" applyBorder="1" applyAlignment="1">
      <alignment horizontal="center"/>
    </xf>
    <xf numFmtId="0" fontId="31" fillId="0" borderId="11" xfId="0" applyFont="1" applyBorder="1" applyAlignment="1">
      <alignment horizontal="center" vertical="top" wrapText="1"/>
    </xf>
    <xf numFmtId="0" fontId="2" fillId="0" borderId="14" xfId="62" applyFont="1" applyBorder="1" applyAlignment="1">
      <alignment horizontal="center"/>
      <protection/>
    </xf>
    <xf numFmtId="0" fontId="2" fillId="0" borderId="15" xfId="62" applyFont="1" applyBorder="1" applyAlignment="1">
      <alignment horizontal="center"/>
      <protection/>
    </xf>
    <xf numFmtId="0" fontId="19" fillId="0" borderId="0" xfId="0" applyFont="1" applyFill="1" applyAlignment="1">
      <alignment horizontal="center"/>
    </xf>
    <xf numFmtId="0" fontId="20" fillId="0" borderId="0" xfId="0" applyFont="1" applyFill="1" applyAlignment="1">
      <alignment horizontal="center"/>
    </xf>
    <xf numFmtId="0" fontId="31" fillId="33" borderId="14" xfId="0" applyFont="1" applyFill="1" applyBorder="1" applyAlignment="1">
      <alignment horizontal="center" vertical="top" wrapText="1"/>
    </xf>
    <xf numFmtId="0" fontId="31" fillId="33" borderId="17" xfId="0" applyFont="1" applyFill="1" applyBorder="1" applyAlignment="1">
      <alignment horizontal="center" vertical="top" wrapText="1"/>
    </xf>
    <xf numFmtId="0" fontId="31" fillId="33" borderId="15" xfId="0" applyFont="1" applyFill="1" applyBorder="1" applyAlignment="1">
      <alignment horizontal="center" vertical="top" wrapTex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2" fillId="0" borderId="10"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4" fillId="0" borderId="22" xfId="74" applyFont="1" applyBorder="1" applyAlignment="1">
      <alignment horizontal="left" vertical="center" wrapText="1"/>
      <protection/>
    </xf>
    <xf numFmtId="0" fontId="11" fillId="0" borderId="21" xfId="74" applyFont="1" applyBorder="1">
      <alignment/>
      <protection/>
    </xf>
    <xf numFmtId="0" fontId="11" fillId="0" borderId="23" xfId="74" applyFont="1" applyBorder="1">
      <alignment/>
      <protection/>
    </xf>
    <xf numFmtId="0" fontId="11" fillId="0" borderId="20" xfId="74" applyFont="1" applyBorder="1">
      <alignment/>
      <protection/>
    </xf>
    <xf numFmtId="0" fontId="11" fillId="0" borderId="0" xfId="74" applyFont="1">
      <alignment/>
      <protection/>
    </xf>
    <xf numFmtId="0" fontId="11" fillId="0" borderId="25" xfId="74" applyFont="1" applyBorder="1">
      <alignment/>
      <protection/>
    </xf>
    <xf numFmtId="0" fontId="11" fillId="0" borderId="19" xfId="74" applyFont="1" applyBorder="1">
      <alignment/>
      <protection/>
    </xf>
    <xf numFmtId="0" fontId="11" fillId="0" borderId="16" xfId="74" applyFont="1" applyBorder="1">
      <alignment/>
      <protection/>
    </xf>
    <xf numFmtId="0" fontId="11" fillId="0" borderId="24" xfId="74" applyFont="1" applyBorder="1">
      <alignment/>
      <protection/>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22" xfId="0" applyFont="1" applyBorder="1" applyAlignment="1">
      <alignment horizontal="center" vertical="center" textRotation="45" wrapText="1"/>
    </xf>
    <xf numFmtId="0" fontId="6" fillId="0" borderId="21" xfId="0" applyFont="1" applyBorder="1" applyAlignment="1">
      <alignment horizontal="center" vertical="center" textRotation="45" wrapText="1"/>
    </xf>
    <xf numFmtId="0" fontId="6" fillId="0" borderId="23" xfId="0" applyFont="1" applyBorder="1" applyAlignment="1">
      <alignment horizontal="center" vertical="center" textRotation="45" wrapText="1"/>
    </xf>
    <xf numFmtId="0" fontId="6" fillId="0" borderId="20" xfId="0" applyFont="1" applyBorder="1" applyAlignment="1">
      <alignment horizontal="center" vertical="center" textRotation="45" wrapText="1"/>
    </xf>
    <xf numFmtId="0" fontId="6" fillId="0" borderId="0" xfId="0" applyFont="1" applyBorder="1" applyAlignment="1">
      <alignment horizontal="center" vertical="center" textRotation="45" wrapText="1"/>
    </xf>
    <xf numFmtId="0" fontId="6" fillId="0" borderId="25" xfId="0" applyFont="1" applyBorder="1" applyAlignment="1">
      <alignment horizontal="center" vertical="center" textRotation="45" wrapText="1"/>
    </xf>
    <xf numFmtId="0" fontId="6" fillId="0" borderId="19" xfId="0" applyFont="1" applyBorder="1" applyAlignment="1">
      <alignment horizontal="center" vertical="center" textRotation="45" wrapText="1"/>
    </xf>
    <xf numFmtId="0" fontId="6" fillId="0" borderId="16" xfId="0" applyFont="1" applyBorder="1" applyAlignment="1">
      <alignment horizontal="center" vertical="center" textRotation="45" wrapText="1"/>
    </xf>
    <xf numFmtId="0" fontId="6" fillId="0" borderId="24" xfId="0" applyFont="1" applyBorder="1" applyAlignment="1">
      <alignment horizontal="center" vertical="center" textRotation="45" wrapText="1"/>
    </xf>
    <xf numFmtId="0" fontId="22" fillId="0" borderId="10" xfId="0" applyFont="1" applyBorder="1" applyAlignment="1">
      <alignment horizontal="center" vertical="top" wrapText="1"/>
    </xf>
    <xf numFmtId="0" fontId="22" fillId="0" borderId="12" xfId="0" applyFont="1" applyBorder="1" applyAlignment="1">
      <alignment horizontal="center" vertical="top" wrapText="1"/>
    </xf>
    <xf numFmtId="0" fontId="0" fillId="0" borderId="14" xfId="0" applyFont="1" applyBorder="1" applyAlignment="1">
      <alignment horizontal="center"/>
    </xf>
    <xf numFmtId="0" fontId="0" fillId="0" borderId="15" xfId="0" applyFont="1" applyBorder="1" applyAlignment="1">
      <alignment horizontal="center"/>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11" xfId="71" applyFont="1" applyBorder="1" applyAlignment="1">
      <alignment horizontal="center" vertical="center" wrapText="1"/>
      <protection/>
    </xf>
    <xf numFmtId="0" fontId="38" fillId="0" borderId="11" xfId="71" applyFont="1" applyBorder="1" applyAlignment="1">
      <alignment horizontal="center"/>
      <protection/>
    </xf>
    <xf numFmtId="0" fontId="2" fillId="0" borderId="11" xfId="71" applyFont="1" applyBorder="1" applyAlignment="1">
      <alignment horizontal="center" vertical="top" wrapText="1"/>
      <protection/>
    </xf>
    <xf numFmtId="0" fontId="0" fillId="0" borderId="0" xfId="71" applyFont="1" applyAlignment="1">
      <alignment horizontal="center"/>
      <protection/>
    </xf>
    <xf numFmtId="0" fontId="2" fillId="0" borderId="14" xfId="71" applyFont="1" applyBorder="1" applyAlignment="1">
      <alignment horizontal="center"/>
      <protection/>
    </xf>
    <xf numFmtId="0" fontId="2" fillId="0" borderId="15" xfId="71" applyFont="1" applyBorder="1" applyAlignment="1">
      <alignment horizontal="center"/>
      <protection/>
    </xf>
    <xf numFmtId="0" fontId="7" fillId="0" borderId="0" xfId="71" applyFont="1" applyAlignment="1">
      <alignment horizontal="center"/>
      <protection/>
    </xf>
    <xf numFmtId="0" fontId="2" fillId="0" borderId="14" xfId="71" applyFont="1" applyBorder="1" applyAlignment="1">
      <alignment horizontal="center" vertical="top"/>
      <protection/>
    </xf>
    <xf numFmtId="0" fontId="2" fillId="0" borderId="17" xfId="71" applyFont="1" applyBorder="1" applyAlignment="1">
      <alignment horizontal="center" vertical="top"/>
      <protection/>
    </xf>
    <xf numFmtId="0" fontId="0" fillId="0" borderId="0" xfId="0" applyFont="1" applyAlignment="1">
      <alignment horizontal="left"/>
    </xf>
    <xf numFmtId="0" fontId="0" fillId="0" borderId="0" xfId="71" applyFont="1" applyAlignment="1">
      <alignment horizontal="left"/>
      <protection/>
    </xf>
    <xf numFmtId="0" fontId="4" fillId="0" borderId="0" xfId="71" applyFont="1" applyAlignment="1">
      <alignment horizontal="center"/>
      <protection/>
    </xf>
    <xf numFmtId="0" fontId="2" fillId="0" borderId="10" xfId="71" applyFont="1" applyBorder="1" applyAlignment="1">
      <alignment horizontal="center" vertical="top" wrapText="1"/>
      <protection/>
    </xf>
    <xf numFmtId="0" fontId="2" fillId="0" borderId="12" xfId="71" applyFont="1" applyBorder="1" applyAlignment="1">
      <alignment horizontal="center" vertical="top" wrapText="1"/>
      <protection/>
    </xf>
    <xf numFmtId="0" fontId="6" fillId="0" borderId="14" xfId="71" applyFont="1" applyBorder="1" applyAlignment="1">
      <alignment horizontal="center" vertical="top"/>
      <protection/>
    </xf>
    <xf numFmtId="0" fontId="6" fillId="0" borderId="17" xfId="71" applyFont="1" applyBorder="1" applyAlignment="1">
      <alignment horizontal="center" vertical="top"/>
      <protection/>
    </xf>
    <xf numFmtId="0" fontId="6" fillId="0" borderId="26" xfId="71" applyFont="1" applyBorder="1" applyAlignment="1">
      <alignment horizontal="center" vertical="top"/>
      <protection/>
    </xf>
    <xf numFmtId="0" fontId="2" fillId="0" borderId="14" xfId="71" applyFont="1" applyBorder="1" applyAlignment="1">
      <alignment horizontal="center" vertical="top" wrapText="1"/>
      <protection/>
    </xf>
    <xf numFmtId="0" fontId="2" fillId="0" borderId="17" xfId="71" applyFont="1" applyBorder="1" applyAlignment="1">
      <alignment horizontal="center" vertical="top" wrapText="1"/>
      <protection/>
    </xf>
    <xf numFmtId="0" fontId="2" fillId="0" borderId="15" xfId="71" applyFont="1" applyBorder="1" applyAlignment="1">
      <alignment horizontal="center" vertical="top" wrapText="1"/>
      <protection/>
    </xf>
    <xf numFmtId="0" fontId="19" fillId="0" borderId="0" xfId="0" applyFont="1" applyAlignment="1">
      <alignment horizontal="right"/>
    </xf>
    <xf numFmtId="0" fontId="22" fillId="0" borderId="0" xfId="0" applyFont="1" applyAlignment="1">
      <alignment horizontal="center"/>
    </xf>
    <xf numFmtId="0" fontId="16" fillId="0" borderId="16" xfId="0" applyFont="1" applyBorder="1" applyAlignment="1">
      <alignment horizontal="left"/>
    </xf>
    <xf numFmtId="0" fontId="22" fillId="0" borderId="14" xfId="0" applyFont="1" applyBorder="1" applyAlignment="1">
      <alignment horizontal="center" vertical="top" wrapText="1"/>
    </xf>
    <xf numFmtId="0" fontId="22" fillId="0" borderId="17" xfId="0" applyFont="1" applyBorder="1" applyAlignment="1">
      <alignment horizontal="center" vertical="top" wrapText="1"/>
    </xf>
    <xf numFmtId="0" fontId="22" fillId="0" borderId="15" xfId="0" applyFont="1" applyBorder="1" applyAlignment="1">
      <alignment horizontal="center" vertical="top" wrapText="1"/>
    </xf>
    <xf numFmtId="0" fontId="14" fillId="0" borderId="0" xfId="62" applyFont="1" applyAlignment="1">
      <alignment horizontal="center"/>
      <protection/>
    </xf>
    <xf numFmtId="0" fontId="2" fillId="0" borderId="0" xfId="62" applyFont="1" applyAlignment="1">
      <alignment horizontal="center"/>
      <protection/>
    </xf>
    <xf numFmtId="0" fontId="16" fillId="0" borderId="0" xfId="65" applyFont="1" applyBorder="1" applyAlignment="1">
      <alignment horizontal="right"/>
      <protection/>
    </xf>
    <xf numFmtId="0" fontId="22" fillId="0" borderId="10" xfId="65" applyFont="1" applyBorder="1" applyAlignment="1">
      <alignment horizontal="center" vertical="top" wrapText="1"/>
      <protection/>
    </xf>
    <xf numFmtId="0" fontId="22" fillId="0" borderId="18" xfId="65" applyFont="1" applyBorder="1" applyAlignment="1">
      <alignment horizontal="center" vertical="top" wrapText="1"/>
      <protection/>
    </xf>
    <xf numFmtId="0" fontId="2" fillId="33" borderId="11" xfId="62" applyFont="1" applyFill="1" applyBorder="1" applyAlignment="1" quotePrefix="1">
      <alignment horizontal="center" vertical="center" wrapText="1"/>
      <protection/>
    </xf>
    <xf numFmtId="0" fontId="16" fillId="0" borderId="0" xfId="62" applyFont="1" applyAlignment="1">
      <alignment horizontal="right"/>
      <protection/>
    </xf>
    <xf numFmtId="0" fontId="22" fillId="0" borderId="11" xfId="65" applyFont="1" applyBorder="1" applyAlignment="1">
      <alignment horizontal="center" vertical="top" wrapText="1"/>
      <protection/>
    </xf>
    <xf numFmtId="0" fontId="2" fillId="33" borderId="11" xfId="62" applyFont="1" applyFill="1" applyBorder="1" applyAlignment="1">
      <alignment horizontal="center" vertical="center" wrapText="1"/>
      <protection/>
    </xf>
    <xf numFmtId="0" fontId="48" fillId="0" borderId="0" xfId="0" applyFont="1" applyBorder="1" applyAlignment="1">
      <alignment horizontal="center" vertical="top"/>
    </xf>
    <xf numFmtId="0" fontId="2" fillId="0" borderId="16" xfId="0" applyFont="1" applyBorder="1" applyAlignment="1">
      <alignment horizontal="left"/>
    </xf>
    <xf numFmtId="0" fontId="49" fillId="0" borderId="22" xfId="0" applyFont="1" applyBorder="1" applyAlignment="1">
      <alignment horizontal="center" vertical="top" wrapText="1"/>
    </xf>
    <xf numFmtId="0" fontId="49" fillId="0" borderId="21" xfId="0" applyFont="1" applyBorder="1" applyAlignment="1">
      <alignment horizontal="center" vertical="top" wrapText="1"/>
    </xf>
    <xf numFmtId="0" fontId="49" fillId="0" borderId="23" xfId="0" applyFont="1" applyBorder="1" applyAlignment="1">
      <alignment horizontal="center" vertical="top" wrapText="1"/>
    </xf>
    <xf numFmtId="0" fontId="51"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45" fillId="0" borderId="0" xfId="0" applyFont="1" applyAlignment="1">
      <alignment horizontal="center" vertical="center"/>
    </xf>
    <xf numFmtId="0" fontId="45" fillId="0" borderId="0" xfId="0" applyFont="1" applyBorder="1" applyAlignment="1">
      <alignment horizontal="center" vertical="center"/>
    </xf>
    <xf numFmtId="0" fontId="47" fillId="0" borderId="11" xfId="74" applyFont="1" applyBorder="1" applyAlignment="1">
      <alignment horizontal="center" vertical="center" wrapText="1"/>
      <protection/>
    </xf>
    <xf numFmtId="0" fontId="44" fillId="0" borderId="11" xfId="74" applyFont="1" applyBorder="1" applyAlignment="1">
      <alignment horizontal="center" vertical="center" wrapText="1"/>
      <protection/>
    </xf>
    <xf numFmtId="0" fontId="26" fillId="0" borderId="0" xfId="0" applyFont="1" applyAlignment="1">
      <alignment horizontal="center" vertical="center" wrapText="1"/>
    </xf>
    <xf numFmtId="0" fontId="14" fillId="0" borderId="11" xfId="0" applyFont="1" applyBorder="1" applyAlignment="1">
      <alignment horizontal="center" vertical="center"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4" fillId="0" borderId="1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top" wrapText="1"/>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wrapText="1"/>
    </xf>
    <xf numFmtId="0" fontId="2" fillId="0" borderId="15" xfId="0" applyFont="1" applyFill="1" applyBorder="1" applyAlignment="1" quotePrefix="1">
      <alignment horizontal="center"/>
    </xf>
    <xf numFmtId="0" fontId="0" fillId="0" borderId="0" xfId="0" applyFont="1" applyFill="1" applyAlignment="1">
      <alignment horizontal="center"/>
    </xf>
    <xf numFmtId="0" fontId="2" fillId="0" borderId="0" xfId="0" applyFont="1" applyFill="1" applyBorder="1" applyAlignment="1">
      <alignment horizontal="right"/>
    </xf>
    <xf numFmtId="0" fontId="2" fillId="0" borderId="0" xfId="0" applyFont="1" applyFill="1" applyAlignment="1">
      <alignment horizontal="left"/>
    </xf>
    <xf numFmtId="0" fontId="2" fillId="0" borderId="22" xfId="0" applyFont="1" applyFill="1" applyBorder="1" applyAlignment="1">
      <alignment horizontal="center" vertical="top" wrapText="1"/>
    </xf>
    <xf numFmtId="0" fontId="2" fillId="0" borderId="19" xfId="0" applyFont="1" applyFill="1" applyBorder="1" applyAlignment="1">
      <alignment horizontal="center" vertical="top" wrapText="1"/>
    </xf>
    <xf numFmtId="0" fontId="15" fillId="0" borderId="0" xfId="0" applyFont="1" applyFill="1" applyAlignment="1">
      <alignment horizontal="center" wrapText="1"/>
    </xf>
    <xf numFmtId="0" fontId="6" fillId="0" borderId="0" xfId="0"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right"/>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10" fillId="0" borderId="2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14" xfId="0" applyFont="1" applyFill="1" applyBorder="1" applyAlignment="1">
      <alignment horizontal="center"/>
    </xf>
    <xf numFmtId="0" fontId="0" fillId="0" borderId="15" xfId="0" applyFont="1" applyFill="1" applyBorder="1" applyAlignment="1" quotePrefix="1">
      <alignment horizontal="center"/>
    </xf>
    <xf numFmtId="0" fontId="7" fillId="0" borderId="0" xfId="0" applyFont="1" applyFill="1" applyAlignment="1">
      <alignment horizontal="center" wrapText="1"/>
    </xf>
    <xf numFmtId="0" fontId="43" fillId="0" borderId="14" xfId="62" applyFont="1" applyBorder="1" applyAlignment="1">
      <alignment horizontal="center"/>
      <protection/>
    </xf>
    <xf numFmtId="0" fontId="43" fillId="0" borderId="15" xfId="62" applyFont="1" applyBorder="1" applyAlignment="1">
      <alignment horizontal="center"/>
      <protection/>
    </xf>
    <xf numFmtId="0" fontId="2" fillId="0" borderId="10" xfId="62" applyFont="1" applyBorder="1" applyAlignment="1">
      <alignment horizontal="center" vertical="top" wrapText="1"/>
      <protection/>
    </xf>
    <xf numFmtId="0" fontId="2" fillId="0" borderId="12" xfId="62" applyFont="1" applyBorder="1" applyAlignment="1">
      <alignment horizontal="center" vertical="top" wrapText="1"/>
      <protection/>
    </xf>
    <xf numFmtId="0" fontId="42" fillId="0" borderId="0" xfId="62" applyFont="1" applyAlignment="1">
      <alignment horizontal="center"/>
      <protection/>
    </xf>
    <xf numFmtId="0" fontId="2" fillId="0" borderId="14" xfId="62" applyFont="1" applyBorder="1" applyAlignment="1">
      <alignment horizontal="center" vertical="top" wrapText="1"/>
      <protection/>
    </xf>
    <xf numFmtId="0" fontId="2" fillId="0" borderId="17" xfId="62" applyFont="1" applyBorder="1" applyAlignment="1">
      <alignment horizontal="center" vertical="top" wrapText="1"/>
      <protection/>
    </xf>
    <xf numFmtId="0" fontId="2" fillId="0" borderId="23" xfId="62" applyFont="1" applyBorder="1" applyAlignment="1">
      <alignment horizontal="center" vertical="top" wrapText="1"/>
      <protection/>
    </xf>
    <xf numFmtId="0" fontId="2" fillId="0" borderId="15" xfId="62" applyFont="1" applyBorder="1" applyAlignment="1">
      <alignment horizontal="center" vertical="top" wrapText="1"/>
      <protection/>
    </xf>
    <xf numFmtId="0" fontId="31" fillId="0" borderId="11" xfId="62" applyFont="1" applyBorder="1" applyAlignment="1">
      <alignment horizontal="center"/>
      <protection/>
    </xf>
    <xf numFmtId="0" fontId="10" fillId="0" borderId="22" xfId="62" applyFont="1" applyBorder="1" applyAlignment="1">
      <alignment horizontal="center" vertical="center" wrapText="1"/>
      <protection/>
    </xf>
    <xf numFmtId="0" fontId="10" fillId="0" borderId="21" xfId="62" applyFont="1" applyBorder="1" applyAlignment="1">
      <alignment horizontal="center" vertical="center" wrapText="1"/>
      <protection/>
    </xf>
    <xf numFmtId="0" fontId="10" fillId="0" borderId="23" xfId="62" applyFont="1" applyBorder="1" applyAlignment="1">
      <alignment horizontal="center" vertical="center" wrapText="1"/>
      <protection/>
    </xf>
    <xf numFmtId="0" fontId="10" fillId="0" borderId="20" xfId="62" applyFont="1" applyBorder="1" applyAlignment="1">
      <alignment horizontal="center" vertical="center" wrapText="1"/>
      <protection/>
    </xf>
    <xf numFmtId="0" fontId="10" fillId="0" borderId="0" xfId="62" applyFont="1" applyBorder="1" applyAlignment="1">
      <alignment horizontal="center" vertical="center" wrapText="1"/>
      <protection/>
    </xf>
    <xf numFmtId="0" fontId="10" fillId="0" borderId="25"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16" xfId="62" applyFont="1" applyBorder="1" applyAlignment="1">
      <alignment horizontal="center" vertical="center" wrapText="1"/>
      <protection/>
    </xf>
    <xf numFmtId="0" fontId="10" fillId="0" borderId="24" xfId="62" applyFont="1" applyBorder="1" applyAlignment="1">
      <alignment horizontal="center" vertical="center" wrapText="1"/>
      <protection/>
    </xf>
    <xf numFmtId="0" fontId="31" fillId="0" borderId="11" xfId="62" applyFont="1" applyBorder="1" applyAlignment="1">
      <alignment horizontal="center" vertical="top" wrapText="1"/>
      <protection/>
    </xf>
    <xf numFmtId="0" fontId="31" fillId="0" borderId="14" xfId="62" applyFont="1" applyBorder="1" applyAlignment="1">
      <alignment horizontal="center"/>
      <protection/>
    </xf>
    <xf numFmtId="0" fontId="31" fillId="0" borderId="15" xfId="62" applyFont="1" applyBorder="1" applyAlignment="1">
      <alignment horizontal="center"/>
      <protection/>
    </xf>
    <xf numFmtId="0" fontId="31" fillId="0" borderId="14" xfId="62" applyFont="1" applyBorder="1" applyAlignment="1">
      <alignment horizontal="center" vertical="top" wrapText="1"/>
      <protection/>
    </xf>
    <xf numFmtId="0" fontId="31" fillId="0" borderId="17" xfId="62" applyFont="1" applyBorder="1" applyAlignment="1">
      <alignment horizontal="center" vertical="top" wrapText="1"/>
      <protection/>
    </xf>
    <xf numFmtId="0" fontId="31" fillId="0" borderId="15" xfId="62" applyFont="1" applyBorder="1" applyAlignment="1">
      <alignment horizontal="center" vertical="top" wrapText="1"/>
      <protection/>
    </xf>
    <xf numFmtId="0" fontId="3" fillId="0" borderId="0" xfId="0" applyFont="1" applyAlignment="1">
      <alignment horizontal="left"/>
    </xf>
    <xf numFmtId="0" fontId="14" fillId="0" borderId="11" xfId="62" applyFont="1" applyBorder="1" applyAlignment="1">
      <alignment horizontal="center" wrapText="1"/>
      <protection/>
    </xf>
    <xf numFmtId="0" fontId="14" fillId="0" borderId="14" xfId="62" applyFont="1" applyBorder="1" applyAlignment="1">
      <alignment horizontal="center" wrapText="1"/>
      <protection/>
    </xf>
    <xf numFmtId="0" fontId="14" fillId="0" borderId="17" xfId="62" applyFont="1" applyBorder="1" applyAlignment="1">
      <alignment horizontal="center" wrapText="1"/>
      <protection/>
    </xf>
    <xf numFmtId="0" fontId="14" fillId="0" borderId="15" xfId="62" applyFont="1" applyBorder="1" applyAlignment="1">
      <alignment horizontal="center" wrapText="1"/>
      <protection/>
    </xf>
    <xf numFmtId="0" fontId="14" fillId="0" borderId="14" xfId="62" applyFont="1" applyBorder="1" applyAlignment="1">
      <alignment horizontal="center"/>
      <protection/>
    </xf>
    <xf numFmtId="0" fontId="14" fillId="0" borderId="15" xfId="62" applyFont="1" applyBorder="1" applyAlignment="1">
      <alignment horizontal="center"/>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wrapText="1"/>
    </xf>
    <xf numFmtId="0" fontId="14" fillId="0" borderId="10" xfId="62" applyFont="1" applyBorder="1" applyAlignment="1">
      <alignment horizontal="center" vertical="top"/>
      <protection/>
    </xf>
    <xf numFmtId="0" fontId="14" fillId="0" borderId="18" xfId="62" applyFont="1" applyBorder="1" applyAlignment="1">
      <alignment horizontal="center" vertical="top"/>
      <protection/>
    </xf>
    <xf numFmtId="0" fontId="14" fillId="0" borderId="12" xfId="62" applyFont="1" applyBorder="1" applyAlignment="1">
      <alignment horizontal="center" vertical="top"/>
      <protection/>
    </xf>
    <xf numFmtId="0" fontId="2" fillId="0" borderId="18" xfId="62" applyFont="1" applyBorder="1" applyAlignment="1">
      <alignment horizontal="center" vertical="top" wrapText="1"/>
      <protection/>
    </xf>
    <xf numFmtId="0" fontId="2" fillId="0" borderId="22" xfId="62" applyFont="1" applyBorder="1" applyAlignment="1">
      <alignment horizontal="center" vertical="top" wrapText="1"/>
      <protection/>
    </xf>
    <xf numFmtId="0" fontId="2" fillId="0" borderId="20" xfId="62" applyFont="1" applyBorder="1" applyAlignment="1">
      <alignment horizontal="center" vertical="top" wrapText="1"/>
      <protection/>
    </xf>
    <xf numFmtId="0" fontId="2" fillId="0" borderId="25" xfId="62" applyFont="1" applyBorder="1" applyAlignment="1">
      <alignment horizontal="center" vertical="top" wrapText="1"/>
      <protection/>
    </xf>
    <xf numFmtId="0" fontId="5" fillId="0" borderId="0" xfId="72" applyFont="1" applyAlignment="1">
      <alignment horizontal="center"/>
      <protection/>
    </xf>
    <xf numFmtId="0" fontId="4" fillId="0" borderId="0" xfId="72" applyFont="1" applyAlignment="1">
      <alignment horizontal="center"/>
      <protection/>
    </xf>
    <xf numFmtId="0" fontId="6" fillId="0" borderId="0" xfId="72" applyFont="1" applyAlignment="1">
      <alignment horizontal="center"/>
      <protection/>
    </xf>
    <xf numFmtId="0" fontId="2" fillId="0" borderId="0" xfId="72" applyFont="1" applyAlignment="1">
      <alignment horizontal="left"/>
      <protection/>
    </xf>
    <xf numFmtId="0" fontId="16" fillId="0" borderId="11" xfId="72" applyFont="1" applyBorder="1" applyAlignment="1">
      <alignment horizontal="center" vertical="top" wrapText="1"/>
      <protection/>
    </xf>
    <xf numFmtId="0" fontId="2" fillId="0" borderId="14" xfId="72" applyFont="1" applyBorder="1" applyAlignment="1">
      <alignment horizontal="center"/>
      <protection/>
    </xf>
    <xf numFmtId="0" fontId="2" fillId="0" borderId="15" xfId="72" applyFont="1" applyBorder="1" applyAlignment="1">
      <alignment horizontal="center"/>
      <protection/>
    </xf>
    <xf numFmtId="0" fontId="16" fillId="0" borderId="10" xfId="72" applyFont="1" applyBorder="1" applyAlignment="1">
      <alignment horizontal="center" vertical="top" wrapText="1"/>
      <protection/>
    </xf>
    <xf numFmtId="0" fontId="16" fillId="0" borderId="12" xfId="72" applyFont="1" applyBorder="1" applyAlignment="1">
      <alignment horizontal="center" vertical="top" wrapText="1"/>
      <protection/>
    </xf>
    <xf numFmtId="0" fontId="16" fillId="0" borderId="16" xfId="72" applyFont="1" applyBorder="1" applyAlignment="1">
      <alignment horizontal="center"/>
      <protection/>
    </xf>
    <xf numFmtId="0" fontId="7" fillId="0" borderId="14" xfId="72" applyFont="1" applyBorder="1" applyAlignment="1">
      <alignment horizontal="left" vertical="top" wrapText="1"/>
      <protection/>
    </xf>
    <xf numFmtId="0" fontId="7" fillId="0" borderId="17" xfId="72" applyFont="1" applyBorder="1" applyAlignment="1">
      <alignment horizontal="left" vertical="top" wrapText="1"/>
      <protection/>
    </xf>
    <xf numFmtId="0" fontId="7" fillId="0" borderId="15" xfId="72" applyFont="1" applyBorder="1" applyAlignment="1">
      <alignment horizontal="left" vertical="top" wrapText="1"/>
      <protection/>
    </xf>
    <xf numFmtId="0" fontId="16" fillId="0" borderId="11" xfId="72" applyFont="1" applyBorder="1" applyAlignment="1">
      <alignment horizontal="center" vertical="top"/>
      <protection/>
    </xf>
    <xf numFmtId="0" fontId="7" fillId="0" borderId="11" xfId="72" applyFont="1" applyBorder="1" applyAlignment="1">
      <alignment horizontal="left" vertical="top" wrapText="1"/>
      <protection/>
    </xf>
    <xf numFmtId="0" fontId="2" fillId="0" borderId="11" xfId="72" applyFont="1" applyBorder="1" applyAlignment="1">
      <alignment horizontal="center"/>
      <protection/>
    </xf>
    <xf numFmtId="0" fontId="16" fillId="0" borderId="14" xfId="72" applyFont="1" applyBorder="1" applyAlignment="1">
      <alignment horizontal="center" vertical="top"/>
      <protection/>
    </xf>
    <xf numFmtId="0" fontId="16" fillId="0" borderId="17" xfId="72" applyFont="1" applyBorder="1" applyAlignment="1">
      <alignment horizontal="center" vertical="top"/>
      <protection/>
    </xf>
    <xf numFmtId="0" fontId="16" fillId="0" borderId="15" xfId="72" applyFont="1" applyBorder="1" applyAlignment="1">
      <alignment horizontal="center" vertical="top"/>
      <protection/>
    </xf>
    <xf numFmtId="0" fontId="2" fillId="0" borderId="0" xfId="71" applyFont="1" applyAlignment="1">
      <alignment horizontal="center"/>
      <protection/>
    </xf>
    <xf numFmtId="0" fontId="2" fillId="0" borderId="0" xfId="71" applyFont="1" applyAlignment="1">
      <alignment horizontal="left"/>
      <protection/>
    </xf>
    <xf numFmtId="0" fontId="10" fillId="0" borderId="22" xfId="71" applyFont="1" applyBorder="1" applyAlignment="1">
      <alignment horizontal="center" vertical="center" wrapText="1"/>
      <protection/>
    </xf>
    <xf numFmtId="0" fontId="10" fillId="0" borderId="21" xfId="71" applyFont="1" applyBorder="1" applyAlignment="1">
      <alignment horizontal="center" vertical="center" wrapText="1"/>
      <protection/>
    </xf>
    <xf numFmtId="0" fontId="10" fillId="0" borderId="23" xfId="71" applyFont="1" applyBorder="1" applyAlignment="1">
      <alignment horizontal="center" vertical="center" wrapText="1"/>
      <protection/>
    </xf>
    <xf numFmtId="0" fontId="10" fillId="0" borderId="20" xfId="71" applyFont="1" applyBorder="1" applyAlignment="1">
      <alignment horizontal="center" vertical="center" wrapText="1"/>
      <protection/>
    </xf>
    <xf numFmtId="0" fontId="10" fillId="0" borderId="0" xfId="71" applyFont="1" applyBorder="1" applyAlignment="1">
      <alignment horizontal="center" vertical="center" wrapText="1"/>
      <protection/>
    </xf>
    <xf numFmtId="0" fontId="10" fillId="0" borderId="25" xfId="71" applyFont="1" applyBorder="1" applyAlignment="1">
      <alignment horizontal="center" vertical="center" wrapText="1"/>
      <protection/>
    </xf>
    <xf numFmtId="0" fontId="10" fillId="0" borderId="19" xfId="71" applyFont="1" applyBorder="1" applyAlignment="1">
      <alignment horizontal="center" vertical="center" wrapText="1"/>
      <protection/>
    </xf>
    <xf numFmtId="0" fontId="10" fillId="0" borderId="16" xfId="71" applyFont="1" applyBorder="1" applyAlignment="1">
      <alignment horizontal="center" vertical="center" wrapText="1"/>
      <protection/>
    </xf>
    <xf numFmtId="0" fontId="10" fillId="0" borderId="24" xfId="71" applyFont="1" applyBorder="1" applyAlignment="1">
      <alignment horizontal="center" vertical="center" wrapText="1"/>
      <protection/>
    </xf>
    <xf numFmtId="0" fontId="5" fillId="0" borderId="0" xfId="71" applyFont="1" applyAlignment="1">
      <alignment horizontal="center" wrapText="1"/>
      <protection/>
    </xf>
    <xf numFmtId="0" fontId="2" fillId="0" borderId="11" xfId="71" applyFont="1" applyBorder="1" applyAlignment="1">
      <alignment horizontal="center"/>
      <protection/>
    </xf>
    <xf numFmtId="0" fontId="11" fillId="0" borderId="0" xfId="71" applyFont="1" applyAlignment="1">
      <alignment horizontal="center"/>
      <protection/>
    </xf>
    <xf numFmtId="0" fontId="0" fillId="0" borderId="0" xfId="71" applyFont="1">
      <alignment/>
      <protection/>
    </xf>
    <xf numFmtId="0" fontId="16" fillId="0" borderId="0" xfId="71" applyFont="1" applyBorder="1" applyAlignment="1">
      <alignment horizontal="right"/>
      <protection/>
    </xf>
    <xf numFmtId="0" fontId="35" fillId="0" borderId="14" xfId="62" applyFont="1" applyBorder="1" applyAlignment="1">
      <alignment horizontal="center" vertical="center" wrapText="1"/>
      <protection/>
    </xf>
    <xf numFmtId="0" fontId="35" fillId="0" borderId="15" xfId="62" applyFont="1" applyBorder="1" applyAlignment="1">
      <alignment horizontal="center" vertical="center" wrapText="1"/>
      <protection/>
    </xf>
    <xf numFmtId="0" fontId="35" fillId="0" borderId="17" xfId="62" applyFont="1" applyBorder="1" applyAlignment="1">
      <alignment horizontal="center"/>
      <protection/>
    </xf>
    <xf numFmtId="0" fontId="35" fillId="0" borderId="11" xfId="62" applyFont="1" applyBorder="1" applyAlignment="1">
      <alignment horizontal="center" vertical="center" wrapText="1"/>
      <protection/>
    </xf>
    <xf numFmtId="0" fontId="35" fillId="0" borderId="10" xfId="62" applyFont="1" applyBorder="1" applyAlignment="1">
      <alignment horizontal="center" vertical="center" wrapText="1"/>
      <protection/>
    </xf>
    <xf numFmtId="0" fontId="35" fillId="0" borderId="12" xfId="62" applyFont="1" applyBorder="1" applyAlignment="1">
      <alignment horizontal="center" vertical="center" wrapText="1"/>
      <protection/>
    </xf>
    <xf numFmtId="0" fontId="36" fillId="0" borderId="0" xfId="62" applyFont="1" applyAlignment="1">
      <alignment horizontal="center"/>
      <protection/>
    </xf>
    <xf numFmtId="0" fontId="35" fillId="0" borderId="11" xfId="62" applyFont="1" applyBorder="1" applyAlignment="1">
      <alignment horizontal="center"/>
      <protection/>
    </xf>
    <xf numFmtId="0" fontId="86" fillId="0" borderId="21" xfId="62" applyBorder="1" applyAlignment="1">
      <alignment horizontal="center"/>
      <protection/>
    </xf>
    <xf numFmtId="0" fontId="72" fillId="0" borderId="0" xfId="0" applyFont="1" applyAlignment="1">
      <alignment horizontal="center" vertical="center"/>
    </xf>
    <xf numFmtId="0" fontId="4" fillId="0" borderId="0" xfId="0" applyFont="1" applyAlignment="1">
      <alignment vertical="center"/>
    </xf>
    <xf numFmtId="0" fontId="105" fillId="0" borderId="27" xfId="0" applyFont="1" applyBorder="1" applyAlignment="1">
      <alignment horizontal="center" vertical="center" wrapText="1"/>
    </xf>
    <xf numFmtId="0" fontId="105" fillId="0" borderId="28" xfId="0" applyFont="1" applyBorder="1" applyAlignment="1">
      <alignment horizontal="center" vertical="center" wrapText="1"/>
    </xf>
    <xf numFmtId="0" fontId="106" fillId="0" borderId="29" xfId="0" applyFont="1" applyBorder="1" applyAlignment="1">
      <alignment horizontal="center" vertical="center" wrapText="1"/>
    </xf>
    <xf numFmtId="0" fontId="106" fillId="0" borderId="30" xfId="0" applyFont="1" applyBorder="1" applyAlignment="1">
      <alignment vertical="center" wrapText="1"/>
    </xf>
    <xf numFmtId="0" fontId="106" fillId="0" borderId="30" xfId="0" applyFont="1" applyBorder="1" applyAlignment="1">
      <alignment horizontal="justify" vertical="center" wrapText="1"/>
    </xf>
    <xf numFmtId="0" fontId="106" fillId="0" borderId="30" xfId="0" applyFont="1" applyBorder="1" applyAlignment="1">
      <alignment horizontal="center" vertical="center" wrapText="1"/>
    </xf>
    <xf numFmtId="0" fontId="106" fillId="0" borderId="30" xfId="0" applyFont="1" applyBorder="1" applyAlignment="1">
      <alignment horizontal="right" vertical="center" wrapText="1"/>
    </xf>
    <xf numFmtId="0" fontId="106" fillId="0" borderId="31" xfId="0" applyFont="1" applyBorder="1" applyAlignment="1">
      <alignment horizontal="center" vertical="center" wrapText="1"/>
    </xf>
    <xf numFmtId="0" fontId="106" fillId="0" borderId="32" xfId="0" applyFont="1" applyBorder="1" applyAlignment="1">
      <alignment vertical="center" wrapText="1"/>
    </xf>
    <xf numFmtId="0" fontId="105" fillId="0" borderId="30" xfId="0" applyFont="1" applyBorder="1" applyAlignment="1">
      <alignment horizontal="justify" vertical="center" wrapText="1"/>
    </xf>
    <xf numFmtId="0" fontId="105" fillId="0" borderId="30" xfId="0" applyFont="1" applyBorder="1" applyAlignment="1">
      <alignment horizontal="center" vertical="center" wrapText="1"/>
    </xf>
    <xf numFmtId="0" fontId="105" fillId="0" borderId="30" xfId="0" applyFont="1" applyBorder="1" applyAlignment="1">
      <alignment horizontal="right" vertical="center" wrapText="1"/>
    </xf>
    <xf numFmtId="0" fontId="105" fillId="0" borderId="33" xfId="0" applyFont="1" applyBorder="1" applyAlignment="1">
      <alignment vertical="center" wrapText="1"/>
    </xf>
    <xf numFmtId="0" fontId="105" fillId="0" borderId="34" xfId="0" applyFont="1" applyBorder="1" applyAlignment="1">
      <alignment vertical="center" wrapText="1"/>
    </xf>
    <xf numFmtId="0" fontId="105" fillId="0" borderId="28" xfId="0" applyFont="1" applyBorder="1" applyAlignment="1">
      <alignment vertical="center" wrapText="1"/>
    </xf>
    <xf numFmtId="0" fontId="107" fillId="0" borderId="35" xfId="0" applyFont="1" applyBorder="1" applyAlignment="1">
      <alignment horizontal="center" vertical="center" wrapText="1"/>
    </xf>
    <xf numFmtId="0" fontId="107" fillId="0" borderId="36" xfId="0" applyFont="1" applyBorder="1" applyAlignment="1">
      <alignment horizontal="center" vertical="center" wrapText="1"/>
    </xf>
    <xf numFmtId="0" fontId="107" fillId="0" borderId="37" xfId="0" applyFont="1" applyBorder="1" applyAlignment="1">
      <alignment horizontal="center" vertical="center" wrapText="1"/>
    </xf>
    <xf numFmtId="0" fontId="107" fillId="0" borderId="30" xfId="0" applyFont="1" applyBorder="1" applyAlignment="1">
      <alignment horizontal="center" vertical="center" wrapText="1"/>
    </xf>
    <xf numFmtId="0" fontId="106" fillId="0" borderId="38" xfId="0" applyFont="1" applyBorder="1" applyAlignment="1">
      <alignment horizontal="justify" vertical="center" wrapText="1"/>
    </xf>
    <xf numFmtId="0" fontId="106" fillId="0" borderId="31" xfId="0" applyFont="1" applyBorder="1" applyAlignment="1">
      <alignment horizontal="justify" vertical="center" wrapText="1"/>
    </xf>
    <xf numFmtId="0" fontId="106" fillId="0" borderId="29" xfId="0" applyFont="1" applyBorder="1" applyAlignment="1">
      <alignment horizontal="justify" vertical="center" wrapText="1"/>
    </xf>
    <xf numFmtId="0" fontId="105" fillId="0" borderId="33" xfId="0" applyFont="1" applyBorder="1" applyAlignment="1">
      <alignment horizontal="center" vertical="center" wrapText="1"/>
    </xf>
    <xf numFmtId="0" fontId="105" fillId="0" borderId="28" xfId="0" applyFont="1" applyBorder="1" applyAlignment="1">
      <alignment horizontal="center" vertical="center" wrapText="1"/>
    </xf>
    <xf numFmtId="0" fontId="105" fillId="0" borderId="34" xfId="0" applyFont="1" applyBorder="1" applyAlignment="1">
      <alignment horizontal="center" vertical="center" wrapText="1"/>
    </xf>
    <xf numFmtId="0" fontId="105" fillId="0" borderId="39" xfId="0" applyFont="1" applyBorder="1" applyAlignment="1">
      <alignment horizontal="center" vertical="center" wrapText="1"/>
    </xf>
    <xf numFmtId="0" fontId="106" fillId="0" borderId="32" xfId="0" applyFont="1" applyBorder="1" applyAlignment="1">
      <alignment horizontal="center" vertical="center" wrapText="1"/>
    </xf>
    <xf numFmtId="0" fontId="106" fillId="0" borderId="36" xfId="0" applyFont="1" applyBorder="1" applyAlignment="1">
      <alignment horizontal="center" vertical="center" wrapText="1"/>
    </xf>
    <xf numFmtId="0" fontId="106" fillId="0" borderId="30" xfId="0" applyFont="1" applyBorder="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xf>
    <xf numFmtId="0" fontId="14" fillId="0" borderId="28" xfId="0" applyFont="1" applyBorder="1" applyAlignment="1">
      <alignment horizontal="center" vertical="center" wrapText="1"/>
    </xf>
    <xf numFmtId="0" fontId="14" fillId="0" borderId="30" xfId="0" applyFont="1" applyBorder="1" applyAlignment="1">
      <alignment horizontal="center"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wrapText="1"/>
    </xf>
    <xf numFmtId="0" fontId="14" fillId="0" borderId="30" xfId="0" applyFont="1" applyBorder="1" applyAlignment="1">
      <alignment vertical="center" wrapText="1"/>
    </xf>
    <xf numFmtId="0" fontId="14" fillId="0" borderId="3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08" fillId="0" borderId="29" xfId="0" applyFont="1" applyBorder="1" applyAlignment="1">
      <alignment horizontal="center" vertical="center" wrapText="1"/>
    </xf>
    <xf numFmtId="0" fontId="108" fillId="0" borderId="30" xfId="0" applyFont="1" applyBorder="1" applyAlignment="1">
      <alignment horizontal="center" vertical="center" wrapText="1"/>
    </xf>
    <xf numFmtId="0" fontId="108" fillId="0" borderId="30" xfId="0" applyFont="1" applyBorder="1" applyAlignment="1">
      <alignment vertical="center" wrapText="1"/>
    </xf>
    <xf numFmtId="0" fontId="109" fillId="0" borderId="30" xfId="0" applyFont="1" applyBorder="1" applyAlignment="1">
      <alignment horizontal="center" vertical="center" wrapText="1"/>
    </xf>
    <xf numFmtId="0" fontId="110" fillId="0" borderId="38" xfId="0" applyFont="1" applyBorder="1" applyAlignment="1">
      <alignment horizontal="center" vertical="center" wrapText="1"/>
    </xf>
    <xf numFmtId="0" fontId="110" fillId="0" borderId="29" xfId="0" applyFont="1" applyBorder="1" applyAlignment="1">
      <alignment horizontal="center" vertical="center" wrapText="1"/>
    </xf>
    <xf numFmtId="0" fontId="110" fillId="0" borderId="38" xfId="0" applyFont="1" applyBorder="1" applyAlignment="1">
      <alignment vertical="center" wrapText="1"/>
    </xf>
    <xf numFmtId="0" fontId="110" fillId="0" borderId="29" xfId="0" applyFont="1" applyBorder="1" applyAlignment="1">
      <alignment vertical="center" wrapText="1"/>
    </xf>
    <xf numFmtId="0" fontId="109" fillId="0" borderId="33" xfId="0" applyFont="1" applyBorder="1" applyAlignment="1">
      <alignment horizontal="center" vertical="center" wrapText="1"/>
    </xf>
    <xf numFmtId="0" fontId="109" fillId="0" borderId="34" xfId="0" applyFont="1" applyBorder="1" applyAlignment="1">
      <alignment horizontal="center" vertical="center" wrapText="1"/>
    </xf>
    <xf numFmtId="0" fontId="109" fillId="0" borderId="28" xfId="0" applyFont="1" applyBorder="1" applyAlignment="1">
      <alignment horizontal="center"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4" fillId="0" borderId="29" xfId="0" applyFont="1" applyBorder="1" applyAlignment="1">
      <alignment vertical="center" wrapText="1"/>
    </xf>
    <xf numFmtId="0" fontId="83" fillId="0" borderId="0" xfId="0" applyFont="1" applyAlignment="1">
      <alignment vertical="center"/>
    </xf>
    <xf numFmtId="0" fontId="14" fillId="0" borderId="0" xfId="0" applyFont="1" applyAlignment="1">
      <alignment horizontal="center" vertic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2" xfId="62"/>
    <cellStyle name="Normal 2 2" xfId="63"/>
    <cellStyle name="Normal 2 2 2" xfId="64"/>
    <cellStyle name="Normal 2 3" xfId="65"/>
    <cellStyle name="Normal 2 3 2" xfId="66"/>
    <cellStyle name="Normal 2 3 2 2" xfId="67"/>
    <cellStyle name="Normal 2 3 2 3" xfId="68"/>
    <cellStyle name="Normal 2 3 3" xfId="69"/>
    <cellStyle name="Normal 2 4" xfId="70"/>
    <cellStyle name="Normal 3" xfId="71"/>
    <cellStyle name="Normal 3 2" xfId="72"/>
    <cellStyle name="Normal 4" xfId="73"/>
    <cellStyle name="Normal 5" xfId="74"/>
    <cellStyle name="Normal 6" xfId="75"/>
    <cellStyle name="Normal 6 2" xfId="76"/>
    <cellStyle name="Normal 6 3" xfId="77"/>
    <cellStyle name="Normal 7" xfId="78"/>
    <cellStyle name="Normal 7 2" xfId="79"/>
    <cellStyle name="Normal 7 3" xfId="80"/>
    <cellStyle name="Normal 8" xfId="81"/>
    <cellStyle name="Normal 8 2" xfId="82"/>
    <cellStyle name="Normal 8 3" xfId="83"/>
    <cellStyle name="Normal 9" xfId="84"/>
    <cellStyle name="Note" xfId="85"/>
    <cellStyle name="Output" xfId="86"/>
    <cellStyle name="Percent" xfId="87"/>
    <cellStyle name="Title" xfId="88"/>
    <cellStyle name="Total" xfId="89"/>
    <cellStyle name="Warning Text"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8810625" cy="4486275"/>
    <xdr:sp>
      <xdr:nvSpPr>
        <xdr:cNvPr id="1" name="Rectangle 1"/>
        <xdr:cNvSpPr>
          <a:spLocks/>
        </xdr:cNvSpPr>
      </xdr:nvSpPr>
      <xdr:spPr>
        <a:xfrm>
          <a:off x="0" y="114300"/>
          <a:ext cx="8810625" cy="4486275"/>
        </a:xfrm>
        <a:prstGeom prst="rect">
          <a:avLst/>
        </a:prstGeom>
        <a:noFill/>
        <a:ln w="9525" cmpd="sng">
          <a:noFill/>
        </a:ln>
      </xdr:spPr>
      <xdr:txBody>
        <a:bodyPr vertOverflow="clip" wrap="square"/>
        <a:p>
          <a:pPr algn="ctr">
            <a:defRPr/>
          </a:pPr>
          <a:r>
            <a:rPr lang="en-US" cap="none" sz="4000" b="1" i="0" u="none" baseline="0"/>
            <a:t>Annual Work Plan &amp; Budget
</a:t>
          </a:r>
          <a:r>
            <a:rPr lang="en-US" cap="none" sz="4000" b="1" i="0" u="none" baseline="0"/>
            <a:t>2018-19
</a:t>
          </a:r>
          <a:r>
            <a:rPr lang="en-US" cap="none" sz="4000" b="1" i="0" u="none" baseline="0"/>
            <a:t>
</a:t>
          </a:r>
          <a:r>
            <a:rPr lang="en-US" cap="none" sz="4000" b="1" i="0" u="none" baseline="0"/>
            <a:t>State/UT</a:t>
          </a:r>
          <a:r>
            <a:rPr lang="en-US" cap="none" sz="4000" b="1" i="0" u="none" baseline="0"/>
            <a:t> _JHARKHAND_
</a:t>
          </a:r>
          <a:r>
            <a:rPr lang="en-US" cap="none" sz="4000" b="1" i="0" u="none" baseline="0"/>
            <a:t>Date of Submission _XXXX_</a:t>
          </a:r>
          <a:r>
            <a:rPr lang="en-US" cap="none" sz="40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57150</xdr:rowOff>
    </xdr:from>
    <xdr:ext cx="5591175" cy="2628900"/>
    <xdr:sp>
      <xdr:nvSpPr>
        <xdr:cNvPr id="1" name="Rectangle 1"/>
        <xdr:cNvSpPr>
          <a:spLocks/>
        </xdr:cNvSpPr>
      </xdr:nvSpPr>
      <xdr:spPr>
        <a:xfrm>
          <a:off x="0" y="542925"/>
          <a:ext cx="5591175" cy="2628900"/>
        </a:xfrm>
        <a:prstGeom prst="rect">
          <a:avLst/>
        </a:prstGeom>
        <a:noFill/>
        <a:ln w="9525" cmpd="sng">
          <a:noFill/>
        </a:ln>
      </xdr:spPr>
      <xdr:txBody>
        <a:bodyPr vertOverflow="clip" wrap="square"/>
        <a:p>
          <a:pPr algn="ctr">
            <a:defRPr/>
          </a:pPr>
          <a:r>
            <a:rPr lang="en-US" cap="none" sz="5400" b="1" i="0" u="none" baseline="0"/>
            <a:t>Performance during 
</a:t>
          </a:r>
          <a:r>
            <a:rPr lang="en-US" cap="none" sz="5400" b="1" i="0" u="none" baseline="0"/>
            <a:t>2017-18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view="pageBreakPreview" zoomScale="90" zoomScaleSheetLayoutView="90" zoomScalePageLayoutView="0" workbookViewId="0" topLeftCell="A1">
      <selection activeCell="F44" sqref="F44"/>
    </sheetView>
  </sheetViews>
  <sheetFormatPr defaultColWidth="9.140625" defaultRowHeight="12.75"/>
  <cols>
    <col min="15" max="15" width="12.421875" style="0" customWidth="1"/>
  </cols>
  <sheetData/>
  <sheetProtection/>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S49"/>
  <sheetViews>
    <sheetView view="pageBreakPreview" zoomScale="70" zoomScaleNormal="85" zoomScaleSheetLayoutView="70" workbookViewId="0" topLeftCell="A1">
      <selection activeCell="P53" sqref="P53"/>
    </sheetView>
  </sheetViews>
  <sheetFormatPr defaultColWidth="9.140625" defaultRowHeight="12.75"/>
  <cols>
    <col min="1" max="1" width="6.57421875" style="12" customWidth="1"/>
    <col min="2" max="2" width="15.421875" style="12" bestFit="1" customWidth="1"/>
    <col min="3" max="13" width="11.8515625" style="12" customWidth="1"/>
    <col min="14" max="14" width="30.8515625" style="12" customWidth="1"/>
    <col min="15" max="16384" width="9.140625" style="12" customWidth="1"/>
  </cols>
  <sheetData>
    <row r="1" spans="4:13" ht="12.75" customHeight="1">
      <c r="D1" s="594"/>
      <c r="E1" s="594"/>
      <c r="F1" s="594"/>
      <c r="G1" s="594"/>
      <c r="H1" s="594"/>
      <c r="I1" s="594"/>
      <c r="J1" s="594"/>
      <c r="M1" s="81" t="s">
        <v>260</v>
      </c>
    </row>
    <row r="2" spans="1:14" ht="15">
      <c r="A2" s="684" t="s">
        <v>0</v>
      </c>
      <c r="B2" s="684"/>
      <c r="C2" s="684"/>
      <c r="D2" s="684"/>
      <c r="E2" s="684"/>
      <c r="F2" s="684"/>
      <c r="G2" s="684"/>
      <c r="H2" s="684"/>
      <c r="I2" s="684"/>
      <c r="J2" s="684"/>
      <c r="K2" s="684"/>
      <c r="L2" s="684"/>
      <c r="M2" s="684"/>
      <c r="N2" s="684"/>
    </row>
    <row r="3" spans="1:14" ht="20.25">
      <c r="A3" s="591" t="s">
        <v>645</v>
      </c>
      <c r="B3" s="591"/>
      <c r="C3" s="591"/>
      <c r="D3" s="591"/>
      <c r="E3" s="591"/>
      <c r="F3" s="591"/>
      <c r="G3" s="591"/>
      <c r="H3" s="591"/>
      <c r="I3" s="591"/>
      <c r="J3" s="591"/>
      <c r="K3" s="591"/>
      <c r="L3" s="591"/>
      <c r="M3" s="591"/>
      <c r="N3" s="591"/>
    </row>
    <row r="4" ht="11.25" customHeight="1"/>
    <row r="5" spans="1:14" ht="15.75">
      <c r="A5" s="592" t="s">
        <v>653</v>
      </c>
      <c r="B5" s="592"/>
      <c r="C5" s="592"/>
      <c r="D5" s="592"/>
      <c r="E5" s="592"/>
      <c r="F5" s="592"/>
      <c r="G5" s="592"/>
      <c r="H5" s="592"/>
      <c r="I5" s="592"/>
      <c r="J5" s="592"/>
      <c r="K5" s="592"/>
      <c r="L5" s="592"/>
      <c r="M5" s="592"/>
      <c r="N5" s="592"/>
    </row>
    <row r="7" spans="1:15" ht="12.75">
      <c r="A7" s="593" t="s">
        <v>956</v>
      </c>
      <c r="B7" s="593"/>
      <c r="L7" s="683" t="s">
        <v>959</v>
      </c>
      <c r="M7" s="683"/>
      <c r="N7" s="683"/>
      <c r="O7" s="79"/>
    </row>
    <row r="8" spans="1:14" ht="15.75" customHeight="1">
      <c r="A8" s="685" t="s">
        <v>1</v>
      </c>
      <c r="B8" s="685" t="s">
        <v>2</v>
      </c>
      <c r="C8" s="572" t="s">
        <v>3</v>
      </c>
      <c r="D8" s="572"/>
      <c r="E8" s="572"/>
      <c r="F8" s="560"/>
      <c r="G8" s="560"/>
      <c r="H8" s="572" t="s">
        <v>95</v>
      </c>
      <c r="I8" s="572"/>
      <c r="J8" s="572"/>
      <c r="K8" s="572"/>
      <c r="L8" s="572"/>
      <c r="M8" s="685" t="s">
        <v>130</v>
      </c>
      <c r="N8" s="573" t="s">
        <v>131</v>
      </c>
    </row>
    <row r="9" spans="1:19" ht="38.25">
      <c r="A9" s="686"/>
      <c r="B9" s="686"/>
      <c r="C9" s="5" t="s">
        <v>4</v>
      </c>
      <c r="D9" s="5" t="s">
        <v>5</v>
      </c>
      <c r="E9" s="5" t="s">
        <v>358</v>
      </c>
      <c r="F9" s="5" t="s">
        <v>93</v>
      </c>
      <c r="G9" s="5" t="s">
        <v>113</v>
      </c>
      <c r="H9" s="5" t="s">
        <v>4</v>
      </c>
      <c r="I9" s="5" t="s">
        <v>5</v>
      </c>
      <c r="J9" s="5" t="s">
        <v>358</v>
      </c>
      <c r="K9" s="7" t="s">
        <v>93</v>
      </c>
      <c r="L9" s="7" t="s">
        <v>114</v>
      </c>
      <c r="M9" s="686"/>
      <c r="N9" s="573"/>
      <c r="R9" s="15"/>
      <c r="S9" s="17"/>
    </row>
    <row r="10" spans="1:14" s="11" customFormat="1" ht="12.75">
      <c r="A10" s="5">
        <v>1</v>
      </c>
      <c r="B10" s="5">
        <v>2</v>
      </c>
      <c r="C10" s="5">
        <v>3</v>
      </c>
      <c r="D10" s="5">
        <v>4</v>
      </c>
      <c r="E10" s="5">
        <v>5</v>
      </c>
      <c r="F10" s="5">
        <v>6</v>
      </c>
      <c r="G10" s="5">
        <v>7</v>
      </c>
      <c r="H10" s="5">
        <v>8</v>
      </c>
      <c r="I10" s="5">
        <v>9</v>
      </c>
      <c r="J10" s="5">
        <v>10</v>
      </c>
      <c r="K10" s="3">
        <v>11</v>
      </c>
      <c r="L10" s="85">
        <v>12</v>
      </c>
      <c r="M10" s="85">
        <v>13</v>
      </c>
      <c r="N10" s="3">
        <v>14</v>
      </c>
    </row>
    <row r="11" spans="1:14" ht="12.75">
      <c r="A11" s="14">
        <v>1</v>
      </c>
      <c r="B11" s="224" t="s">
        <v>831</v>
      </c>
      <c r="C11" s="15">
        <v>22</v>
      </c>
      <c r="D11" s="15">
        <v>30</v>
      </c>
      <c r="E11" s="15">
        <v>0</v>
      </c>
      <c r="F11" s="535">
        <v>0</v>
      </c>
      <c r="G11" s="540">
        <f aca="true" t="shared" si="0" ref="G11:G34">SUM(C11:F11)</f>
        <v>52</v>
      </c>
      <c r="H11" s="15">
        <v>22</v>
      </c>
      <c r="I11" s="15">
        <v>30</v>
      </c>
      <c r="J11" s="15">
        <v>0</v>
      </c>
      <c r="K11" s="15">
        <v>0</v>
      </c>
      <c r="L11" s="15">
        <f aca="true" t="shared" si="1" ref="L11:L34">SUM(H11:K11)</f>
        <v>52</v>
      </c>
      <c r="M11" s="15">
        <f>G11-L11</f>
        <v>0</v>
      </c>
      <c r="N11" s="15"/>
    </row>
    <row r="12" spans="1:14" ht="12.75">
      <c r="A12" s="14">
        <v>2</v>
      </c>
      <c r="B12" s="224" t="s">
        <v>832</v>
      </c>
      <c r="C12" s="15">
        <v>4</v>
      </c>
      <c r="D12" s="15">
        <v>14</v>
      </c>
      <c r="E12" s="15">
        <v>0</v>
      </c>
      <c r="F12" s="535">
        <v>0</v>
      </c>
      <c r="G12" s="540">
        <f t="shared" si="0"/>
        <v>18</v>
      </c>
      <c r="H12" s="15">
        <v>4</v>
      </c>
      <c r="I12" s="15">
        <v>14</v>
      </c>
      <c r="J12" s="15">
        <v>0</v>
      </c>
      <c r="K12" s="15">
        <v>0</v>
      </c>
      <c r="L12" s="15">
        <f t="shared" si="1"/>
        <v>18</v>
      </c>
      <c r="M12" s="15">
        <f aca="true" t="shared" si="2" ref="M12:M34">G12-L12</f>
        <v>0</v>
      </c>
      <c r="N12" s="15"/>
    </row>
    <row r="13" spans="1:14" ht="12.75">
      <c r="A13" s="14">
        <v>3</v>
      </c>
      <c r="B13" s="224" t="s">
        <v>833</v>
      </c>
      <c r="C13" s="15">
        <v>4</v>
      </c>
      <c r="D13" s="15">
        <v>2</v>
      </c>
      <c r="E13" s="15">
        <v>0</v>
      </c>
      <c r="F13" s="535">
        <v>0</v>
      </c>
      <c r="G13" s="540">
        <f t="shared" si="0"/>
        <v>6</v>
      </c>
      <c r="H13" s="15">
        <v>4</v>
      </c>
      <c r="I13" s="15">
        <v>2</v>
      </c>
      <c r="J13" s="15">
        <v>0</v>
      </c>
      <c r="K13" s="15">
        <v>0</v>
      </c>
      <c r="L13" s="15">
        <f t="shared" si="1"/>
        <v>6</v>
      </c>
      <c r="M13" s="15">
        <f t="shared" si="2"/>
        <v>0</v>
      </c>
      <c r="N13" s="15"/>
    </row>
    <row r="14" spans="1:14" ht="12.75">
      <c r="A14" s="14">
        <v>4</v>
      </c>
      <c r="B14" s="224" t="s">
        <v>834</v>
      </c>
      <c r="C14" s="15">
        <v>9</v>
      </c>
      <c r="D14" s="15">
        <v>18</v>
      </c>
      <c r="E14" s="15">
        <v>0</v>
      </c>
      <c r="F14" s="535">
        <v>0</v>
      </c>
      <c r="G14" s="540">
        <f t="shared" si="0"/>
        <v>27</v>
      </c>
      <c r="H14" s="15">
        <v>9</v>
      </c>
      <c r="I14" s="15">
        <v>18</v>
      </c>
      <c r="J14" s="15">
        <v>0</v>
      </c>
      <c r="K14" s="15">
        <v>0</v>
      </c>
      <c r="L14" s="15">
        <f t="shared" si="1"/>
        <v>27</v>
      </c>
      <c r="M14" s="15">
        <f t="shared" si="2"/>
        <v>0</v>
      </c>
      <c r="N14" s="15"/>
    </row>
    <row r="15" spans="1:14" ht="12.75">
      <c r="A15" s="14">
        <v>5</v>
      </c>
      <c r="B15" s="224" t="s">
        <v>835</v>
      </c>
      <c r="C15" s="15">
        <v>22</v>
      </c>
      <c r="D15" s="15">
        <v>16</v>
      </c>
      <c r="E15" s="15">
        <v>0</v>
      </c>
      <c r="F15" s="535">
        <v>0</v>
      </c>
      <c r="G15" s="540">
        <f>SUM(C15:F15)</f>
        <v>38</v>
      </c>
      <c r="H15" s="15">
        <v>22</v>
      </c>
      <c r="I15" s="15">
        <v>16</v>
      </c>
      <c r="J15" s="15">
        <v>0</v>
      </c>
      <c r="K15" s="15">
        <v>0</v>
      </c>
      <c r="L15" s="15">
        <f>SUM(H15:K15)</f>
        <v>38</v>
      </c>
      <c r="M15" s="15">
        <f t="shared" si="2"/>
        <v>0</v>
      </c>
      <c r="N15" s="15"/>
    </row>
    <row r="16" spans="1:14" ht="12.75">
      <c r="A16" s="14">
        <v>6</v>
      </c>
      <c r="B16" s="224" t="s">
        <v>836</v>
      </c>
      <c r="C16" s="15">
        <v>14</v>
      </c>
      <c r="D16" s="15">
        <v>14</v>
      </c>
      <c r="E16" s="15">
        <v>0</v>
      </c>
      <c r="F16" s="535">
        <v>0</v>
      </c>
      <c r="G16" s="540">
        <f t="shared" si="0"/>
        <v>28</v>
      </c>
      <c r="H16" s="15">
        <v>14</v>
      </c>
      <c r="I16" s="15">
        <v>14</v>
      </c>
      <c r="J16" s="15">
        <v>0</v>
      </c>
      <c r="K16" s="15">
        <v>0</v>
      </c>
      <c r="L16" s="15">
        <f t="shared" si="1"/>
        <v>28</v>
      </c>
      <c r="M16" s="15">
        <f t="shared" si="2"/>
        <v>0</v>
      </c>
      <c r="N16" s="15"/>
    </row>
    <row r="17" spans="1:14" ht="12.75">
      <c r="A17" s="14">
        <v>7</v>
      </c>
      <c r="B17" s="224" t="s">
        <v>837</v>
      </c>
      <c r="C17" s="15">
        <v>9</v>
      </c>
      <c r="D17" s="15">
        <v>0</v>
      </c>
      <c r="E17" s="15">
        <v>0</v>
      </c>
      <c r="F17" s="535">
        <v>0</v>
      </c>
      <c r="G17" s="540">
        <f>SUM(C17:F17)</f>
        <v>9</v>
      </c>
      <c r="H17" s="15">
        <v>9</v>
      </c>
      <c r="I17" s="15">
        <v>0</v>
      </c>
      <c r="J17" s="15">
        <v>0</v>
      </c>
      <c r="K17" s="15">
        <v>0</v>
      </c>
      <c r="L17" s="15">
        <f t="shared" si="1"/>
        <v>9</v>
      </c>
      <c r="M17" s="15">
        <f t="shared" si="2"/>
        <v>0</v>
      </c>
      <c r="N17" s="15"/>
    </row>
    <row r="18" spans="1:14" ht="12.75">
      <c r="A18" s="14">
        <v>8</v>
      </c>
      <c r="B18" s="224" t="s">
        <v>838</v>
      </c>
      <c r="C18" s="15">
        <v>10</v>
      </c>
      <c r="D18" s="15">
        <v>9</v>
      </c>
      <c r="E18" s="15">
        <v>0</v>
      </c>
      <c r="F18" s="535">
        <v>0</v>
      </c>
      <c r="G18" s="540">
        <f t="shared" si="0"/>
        <v>19</v>
      </c>
      <c r="H18" s="15">
        <v>10</v>
      </c>
      <c r="I18" s="15">
        <v>9</v>
      </c>
      <c r="J18" s="15">
        <v>0</v>
      </c>
      <c r="K18" s="15">
        <v>0</v>
      </c>
      <c r="L18" s="15">
        <f t="shared" si="1"/>
        <v>19</v>
      </c>
      <c r="M18" s="15">
        <f t="shared" si="2"/>
        <v>0</v>
      </c>
      <c r="N18" s="15"/>
    </row>
    <row r="19" spans="1:14" ht="12.75">
      <c r="A19" s="14">
        <v>9</v>
      </c>
      <c r="B19" s="224" t="s">
        <v>839</v>
      </c>
      <c r="C19" s="15">
        <v>2</v>
      </c>
      <c r="D19" s="15">
        <v>1</v>
      </c>
      <c r="E19" s="15">
        <v>0</v>
      </c>
      <c r="F19" s="535">
        <v>0</v>
      </c>
      <c r="G19" s="540">
        <f t="shared" si="0"/>
        <v>3</v>
      </c>
      <c r="H19" s="15">
        <v>2</v>
      </c>
      <c r="I19" s="15">
        <v>1</v>
      </c>
      <c r="J19" s="15">
        <v>0</v>
      </c>
      <c r="K19" s="15">
        <v>0</v>
      </c>
      <c r="L19" s="15">
        <f t="shared" si="1"/>
        <v>3</v>
      </c>
      <c r="M19" s="15">
        <f t="shared" si="2"/>
        <v>0</v>
      </c>
      <c r="N19" s="15"/>
    </row>
    <row r="20" spans="1:14" ht="12.75">
      <c r="A20" s="14">
        <v>10</v>
      </c>
      <c r="B20" s="224" t="s">
        <v>840</v>
      </c>
      <c r="C20" s="15">
        <v>5</v>
      </c>
      <c r="D20" s="15">
        <v>3</v>
      </c>
      <c r="E20" s="15">
        <v>0</v>
      </c>
      <c r="F20" s="535">
        <v>0</v>
      </c>
      <c r="G20" s="540">
        <f t="shared" si="0"/>
        <v>8</v>
      </c>
      <c r="H20" s="15">
        <v>5</v>
      </c>
      <c r="I20" s="15">
        <v>3</v>
      </c>
      <c r="J20" s="15">
        <v>0</v>
      </c>
      <c r="K20" s="15">
        <v>0</v>
      </c>
      <c r="L20" s="15">
        <f t="shared" si="1"/>
        <v>8</v>
      </c>
      <c r="M20" s="15">
        <f t="shared" si="2"/>
        <v>0</v>
      </c>
      <c r="N20" s="15"/>
    </row>
    <row r="21" spans="1:14" ht="12.75">
      <c r="A21" s="14">
        <v>11</v>
      </c>
      <c r="B21" s="224" t="s">
        <v>841</v>
      </c>
      <c r="C21" s="15">
        <v>0</v>
      </c>
      <c r="D21" s="15">
        <v>0</v>
      </c>
      <c r="E21" s="15">
        <v>0</v>
      </c>
      <c r="F21" s="535">
        <v>0</v>
      </c>
      <c r="G21" s="540">
        <f t="shared" si="0"/>
        <v>0</v>
      </c>
      <c r="H21" s="15">
        <v>0</v>
      </c>
      <c r="I21" s="15">
        <v>0</v>
      </c>
      <c r="J21" s="15">
        <v>0</v>
      </c>
      <c r="K21" s="15">
        <v>0</v>
      </c>
      <c r="L21" s="15">
        <f t="shared" si="1"/>
        <v>0</v>
      </c>
      <c r="M21" s="15">
        <f t="shared" si="2"/>
        <v>0</v>
      </c>
      <c r="N21" s="15"/>
    </row>
    <row r="22" spans="1:14" ht="12.75">
      <c r="A22" s="14">
        <v>12</v>
      </c>
      <c r="B22" s="224" t="s">
        <v>842</v>
      </c>
      <c r="C22" s="15">
        <v>9</v>
      </c>
      <c r="D22" s="15">
        <v>2</v>
      </c>
      <c r="E22" s="15">
        <v>0</v>
      </c>
      <c r="F22" s="535">
        <v>0</v>
      </c>
      <c r="G22" s="540">
        <f t="shared" si="0"/>
        <v>11</v>
      </c>
      <c r="H22" s="15">
        <v>9</v>
      </c>
      <c r="I22" s="15">
        <v>2</v>
      </c>
      <c r="J22" s="15">
        <v>0</v>
      </c>
      <c r="K22" s="15">
        <v>0</v>
      </c>
      <c r="L22" s="15">
        <f t="shared" si="1"/>
        <v>11</v>
      </c>
      <c r="M22" s="15">
        <f t="shared" si="2"/>
        <v>0</v>
      </c>
      <c r="N22" s="15"/>
    </row>
    <row r="23" spans="1:14" ht="12.75">
      <c r="A23" s="14">
        <v>13</v>
      </c>
      <c r="B23" s="224" t="s">
        <v>843</v>
      </c>
      <c r="C23" s="15">
        <v>0</v>
      </c>
      <c r="D23" s="15">
        <v>0</v>
      </c>
      <c r="E23" s="15">
        <v>0</v>
      </c>
      <c r="F23" s="535">
        <v>0</v>
      </c>
      <c r="G23" s="540">
        <f t="shared" si="0"/>
        <v>0</v>
      </c>
      <c r="H23" s="15">
        <v>0</v>
      </c>
      <c r="I23" s="15">
        <v>0</v>
      </c>
      <c r="J23" s="15">
        <v>0</v>
      </c>
      <c r="K23" s="15">
        <v>0</v>
      </c>
      <c r="L23" s="15">
        <f t="shared" si="1"/>
        <v>0</v>
      </c>
      <c r="M23" s="15">
        <f t="shared" si="2"/>
        <v>0</v>
      </c>
      <c r="N23" s="15"/>
    </row>
    <row r="24" spans="1:14" ht="12.75">
      <c r="A24" s="14">
        <v>14</v>
      </c>
      <c r="B24" s="224" t="s">
        <v>844</v>
      </c>
      <c r="C24" s="15">
        <v>3</v>
      </c>
      <c r="D24" s="15">
        <v>0</v>
      </c>
      <c r="E24" s="15">
        <v>0</v>
      </c>
      <c r="F24" s="535">
        <v>0</v>
      </c>
      <c r="G24" s="540">
        <f t="shared" si="0"/>
        <v>3</v>
      </c>
      <c r="H24" s="15">
        <v>3</v>
      </c>
      <c r="I24" s="15">
        <v>0</v>
      </c>
      <c r="J24" s="15">
        <v>0</v>
      </c>
      <c r="K24" s="15">
        <v>0</v>
      </c>
      <c r="L24" s="15">
        <f t="shared" si="1"/>
        <v>3</v>
      </c>
      <c r="M24" s="15">
        <f t="shared" si="2"/>
        <v>0</v>
      </c>
      <c r="N24" s="15"/>
    </row>
    <row r="25" spans="1:14" ht="12.75">
      <c r="A25" s="14">
        <v>15</v>
      </c>
      <c r="B25" s="224" t="s">
        <v>845</v>
      </c>
      <c r="C25" s="15">
        <v>2</v>
      </c>
      <c r="D25" s="15">
        <v>0</v>
      </c>
      <c r="E25" s="15">
        <v>0</v>
      </c>
      <c r="F25" s="535">
        <v>0</v>
      </c>
      <c r="G25" s="540">
        <f t="shared" si="0"/>
        <v>2</v>
      </c>
      <c r="H25" s="15">
        <v>2</v>
      </c>
      <c r="I25" s="15">
        <v>0</v>
      </c>
      <c r="J25" s="15">
        <v>0</v>
      </c>
      <c r="K25" s="15">
        <v>0</v>
      </c>
      <c r="L25" s="15">
        <f t="shared" si="1"/>
        <v>2</v>
      </c>
      <c r="M25" s="15">
        <f t="shared" si="2"/>
        <v>0</v>
      </c>
      <c r="N25" s="15"/>
    </row>
    <row r="26" spans="1:14" ht="12.75">
      <c r="A26" s="14">
        <v>16</v>
      </c>
      <c r="B26" s="224" t="s">
        <v>846</v>
      </c>
      <c r="C26" s="15">
        <v>11</v>
      </c>
      <c r="D26" s="15">
        <v>3</v>
      </c>
      <c r="E26" s="15">
        <v>0</v>
      </c>
      <c r="F26" s="535">
        <v>0</v>
      </c>
      <c r="G26" s="540">
        <f t="shared" si="0"/>
        <v>14</v>
      </c>
      <c r="H26" s="15">
        <v>8</v>
      </c>
      <c r="I26" s="15">
        <v>3</v>
      </c>
      <c r="J26" s="15">
        <v>0</v>
      </c>
      <c r="K26" s="15">
        <v>0</v>
      </c>
      <c r="L26" s="15">
        <f t="shared" si="1"/>
        <v>11</v>
      </c>
      <c r="M26" s="15">
        <f t="shared" si="2"/>
        <v>3</v>
      </c>
      <c r="N26" s="15" t="s">
        <v>862</v>
      </c>
    </row>
    <row r="27" spans="1:14" ht="12.75">
      <c r="A27" s="14">
        <v>17</v>
      </c>
      <c r="B27" s="224" t="s">
        <v>847</v>
      </c>
      <c r="C27" s="15">
        <v>2</v>
      </c>
      <c r="D27" s="15">
        <v>0</v>
      </c>
      <c r="E27" s="15">
        <v>0</v>
      </c>
      <c r="F27" s="535">
        <v>0</v>
      </c>
      <c r="G27" s="540">
        <f t="shared" si="0"/>
        <v>2</v>
      </c>
      <c r="H27" s="15">
        <v>2</v>
      </c>
      <c r="I27" s="15">
        <v>0</v>
      </c>
      <c r="J27" s="15">
        <v>0</v>
      </c>
      <c r="K27" s="15">
        <v>0</v>
      </c>
      <c r="L27" s="15">
        <f t="shared" si="1"/>
        <v>2</v>
      </c>
      <c r="M27" s="15">
        <f t="shared" si="2"/>
        <v>0</v>
      </c>
      <c r="N27" s="15"/>
    </row>
    <row r="28" spans="1:14" ht="12.75">
      <c r="A28" s="14">
        <v>18</v>
      </c>
      <c r="B28" s="224" t="s">
        <v>848</v>
      </c>
      <c r="C28" s="15">
        <v>1</v>
      </c>
      <c r="D28" s="15">
        <v>1</v>
      </c>
      <c r="E28" s="15">
        <v>0</v>
      </c>
      <c r="F28" s="535">
        <v>0</v>
      </c>
      <c r="G28" s="540">
        <f t="shared" si="0"/>
        <v>2</v>
      </c>
      <c r="H28" s="15">
        <v>1</v>
      </c>
      <c r="I28" s="15">
        <v>1</v>
      </c>
      <c r="J28" s="15">
        <v>0</v>
      </c>
      <c r="K28" s="15">
        <v>0</v>
      </c>
      <c r="L28" s="15">
        <f t="shared" si="1"/>
        <v>2</v>
      </c>
      <c r="M28" s="15">
        <f t="shared" si="2"/>
        <v>0</v>
      </c>
      <c r="N28" s="15"/>
    </row>
    <row r="29" spans="1:14" ht="12.75">
      <c r="A29" s="14">
        <v>19</v>
      </c>
      <c r="B29" s="224" t="s">
        <v>849</v>
      </c>
      <c r="C29" s="15">
        <v>6</v>
      </c>
      <c r="D29" s="15">
        <v>3</v>
      </c>
      <c r="E29" s="15">
        <v>0</v>
      </c>
      <c r="F29" s="535">
        <v>0</v>
      </c>
      <c r="G29" s="540">
        <f t="shared" si="0"/>
        <v>9</v>
      </c>
      <c r="H29" s="15">
        <v>6</v>
      </c>
      <c r="I29" s="15">
        <v>3</v>
      </c>
      <c r="J29" s="15">
        <v>0</v>
      </c>
      <c r="K29" s="15">
        <v>0</v>
      </c>
      <c r="L29" s="15">
        <f t="shared" si="1"/>
        <v>9</v>
      </c>
      <c r="M29" s="15">
        <f t="shared" si="2"/>
        <v>0</v>
      </c>
      <c r="N29" s="15"/>
    </row>
    <row r="30" spans="1:14" ht="12.75">
      <c r="A30" s="14">
        <v>20</v>
      </c>
      <c r="B30" s="224" t="s">
        <v>850</v>
      </c>
      <c r="C30" s="15">
        <v>2</v>
      </c>
      <c r="D30" s="15">
        <v>1</v>
      </c>
      <c r="E30" s="15">
        <v>0</v>
      </c>
      <c r="F30" s="535">
        <v>0</v>
      </c>
      <c r="G30" s="540">
        <f t="shared" si="0"/>
        <v>3</v>
      </c>
      <c r="H30" s="15">
        <v>2</v>
      </c>
      <c r="I30" s="15">
        <v>1</v>
      </c>
      <c r="J30" s="15">
        <v>0</v>
      </c>
      <c r="K30" s="15">
        <v>0</v>
      </c>
      <c r="L30" s="15">
        <f t="shared" si="1"/>
        <v>3</v>
      </c>
      <c r="M30" s="15">
        <f t="shared" si="2"/>
        <v>0</v>
      </c>
      <c r="N30" s="15"/>
    </row>
    <row r="31" spans="1:14" ht="12.75">
      <c r="A31" s="14">
        <v>21</v>
      </c>
      <c r="B31" s="224" t="s">
        <v>851</v>
      </c>
      <c r="C31" s="15">
        <v>4</v>
      </c>
      <c r="D31" s="15">
        <v>0</v>
      </c>
      <c r="E31" s="15">
        <v>0</v>
      </c>
      <c r="F31" s="535">
        <v>0</v>
      </c>
      <c r="G31" s="540">
        <f t="shared" si="0"/>
        <v>4</v>
      </c>
      <c r="H31" s="15">
        <v>0</v>
      </c>
      <c r="I31" s="15">
        <v>0</v>
      </c>
      <c r="J31" s="15">
        <v>0</v>
      </c>
      <c r="K31" s="15">
        <v>0</v>
      </c>
      <c r="L31" s="15">
        <f t="shared" si="1"/>
        <v>0</v>
      </c>
      <c r="M31" s="15">
        <f t="shared" si="2"/>
        <v>4</v>
      </c>
      <c r="N31" s="15" t="s">
        <v>863</v>
      </c>
    </row>
    <row r="32" spans="1:14" ht="12.75">
      <c r="A32" s="14">
        <v>22</v>
      </c>
      <c r="B32" s="224" t="s">
        <v>852</v>
      </c>
      <c r="C32" s="15">
        <v>7</v>
      </c>
      <c r="D32" s="15">
        <v>1</v>
      </c>
      <c r="E32" s="15">
        <v>0</v>
      </c>
      <c r="F32" s="535">
        <v>0</v>
      </c>
      <c r="G32" s="540">
        <f t="shared" si="0"/>
        <v>8</v>
      </c>
      <c r="H32" s="15">
        <v>7</v>
      </c>
      <c r="I32" s="15">
        <v>1</v>
      </c>
      <c r="J32" s="15">
        <v>0</v>
      </c>
      <c r="K32" s="15">
        <v>0</v>
      </c>
      <c r="L32" s="15">
        <f t="shared" si="1"/>
        <v>8</v>
      </c>
      <c r="M32" s="15">
        <f t="shared" si="2"/>
        <v>0</v>
      </c>
      <c r="N32" s="15"/>
    </row>
    <row r="33" spans="1:14" ht="12.75">
      <c r="A33" s="14">
        <v>23</v>
      </c>
      <c r="B33" s="224" t="s">
        <v>853</v>
      </c>
      <c r="C33" s="15">
        <v>4</v>
      </c>
      <c r="D33" s="15">
        <v>1</v>
      </c>
      <c r="E33" s="15">
        <v>0</v>
      </c>
      <c r="F33" s="535">
        <v>0</v>
      </c>
      <c r="G33" s="540">
        <f t="shared" si="0"/>
        <v>5</v>
      </c>
      <c r="H33" s="15">
        <v>4</v>
      </c>
      <c r="I33" s="15">
        <v>1</v>
      </c>
      <c r="J33" s="15">
        <v>0</v>
      </c>
      <c r="K33" s="15">
        <v>0</v>
      </c>
      <c r="L33" s="15">
        <f t="shared" si="1"/>
        <v>5</v>
      </c>
      <c r="M33" s="15">
        <f t="shared" si="2"/>
        <v>0</v>
      </c>
      <c r="N33" s="15"/>
    </row>
    <row r="34" spans="1:14" ht="12.75">
      <c r="A34" s="14">
        <v>24</v>
      </c>
      <c r="B34" s="224" t="s">
        <v>854</v>
      </c>
      <c r="C34" s="15">
        <v>4</v>
      </c>
      <c r="D34" s="15">
        <v>0</v>
      </c>
      <c r="E34" s="15">
        <v>0</v>
      </c>
      <c r="F34" s="535">
        <v>0</v>
      </c>
      <c r="G34" s="540">
        <f t="shared" si="0"/>
        <v>4</v>
      </c>
      <c r="H34" s="15">
        <v>4</v>
      </c>
      <c r="I34" s="15">
        <v>0</v>
      </c>
      <c r="J34" s="15">
        <v>0</v>
      </c>
      <c r="K34" s="15">
        <v>0</v>
      </c>
      <c r="L34" s="15">
        <f t="shared" si="1"/>
        <v>4</v>
      </c>
      <c r="M34" s="15">
        <f t="shared" si="2"/>
        <v>0</v>
      </c>
      <c r="N34" s="15"/>
    </row>
    <row r="35" spans="1:14" s="11" customFormat="1" ht="12.75">
      <c r="A35" s="560" t="s">
        <v>13</v>
      </c>
      <c r="B35" s="561"/>
      <c r="C35" s="244">
        <f aca="true" t="shared" si="3" ref="C35:M35">SUM(C11:C34)</f>
        <v>156</v>
      </c>
      <c r="D35" s="244">
        <f t="shared" si="3"/>
        <v>119</v>
      </c>
      <c r="E35" s="244">
        <f t="shared" si="3"/>
        <v>0</v>
      </c>
      <c r="F35" s="244">
        <f t="shared" si="3"/>
        <v>0</v>
      </c>
      <c r="G35" s="244">
        <f t="shared" si="3"/>
        <v>275</v>
      </c>
      <c r="H35" s="23">
        <f t="shared" si="3"/>
        <v>149</v>
      </c>
      <c r="I35" s="23">
        <f t="shared" si="3"/>
        <v>119</v>
      </c>
      <c r="J35" s="23">
        <f t="shared" si="3"/>
        <v>0</v>
      </c>
      <c r="K35" s="23">
        <f t="shared" si="3"/>
        <v>0</v>
      </c>
      <c r="L35" s="23">
        <f t="shared" si="3"/>
        <v>268</v>
      </c>
      <c r="M35" s="23">
        <f t="shared" si="3"/>
        <v>7</v>
      </c>
      <c r="N35" s="23"/>
    </row>
    <row r="36" spans="1:14" ht="12.75">
      <c r="A36" s="9"/>
      <c r="B36" s="17"/>
      <c r="C36" s="17"/>
      <c r="D36" s="17"/>
      <c r="E36" s="17"/>
      <c r="F36" s="17"/>
      <c r="G36" s="17"/>
      <c r="H36" s="17"/>
      <c r="I36" s="17"/>
      <c r="J36" s="17"/>
      <c r="K36" s="17"/>
      <c r="L36" s="17"/>
      <c r="M36" s="17"/>
      <c r="N36" s="17"/>
    </row>
    <row r="37" ht="12.75">
      <c r="A37" s="16" t="s">
        <v>6</v>
      </c>
    </row>
    <row r="38" ht="12.75">
      <c r="A38" s="12" t="s">
        <v>7</v>
      </c>
    </row>
    <row r="39" spans="1:14" ht="12.75">
      <c r="A39" s="12" t="s">
        <v>8</v>
      </c>
      <c r="K39" s="9" t="s">
        <v>9</v>
      </c>
      <c r="L39" s="9" t="s">
        <v>9</v>
      </c>
      <c r="M39" s="9"/>
      <c r="N39" s="9" t="s">
        <v>9</v>
      </c>
    </row>
    <row r="40" spans="1:12" ht="12.75">
      <c r="A40" s="12" t="s">
        <v>430</v>
      </c>
      <c r="J40" s="9"/>
      <c r="K40" s="9"/>
      <c r="L40" s="9"/>
    </row>
    <row r="41" spans="3:13" ht="12.75">
      <c r="C41" s="12" t="s">
        <v>431</v>
      </c>
      <c r="E41" s="17"/>
      <c r="F41" s="17"/>
      <c r="G41" s="17"/>
      <c r="H41" s="17"/>
      <c r="I41" s="17"/>
      <c r="J41" s="17"/>
      <c r="K41" s="17"/>
      <c r="L41" s="17"/>
      <c r="M41" s="17"/>
    </row>
    <row r="42" spans="5:14" ht="12.75">
      <c r="E42" s="17"/>
      <c r="F42" s="17"/>
      <c r="G42" s="17"/>
      <c r="H42" s="17"/>
      <c r="I42" s="17"/>
      <c r="J42" s="17"/>
      <c r="K42" s="17"/>
      <c r="L42" s="17"/>
      <c r="M42" s="17"/>
      <c r="N42" s="17"/>
    </row>
    <row r="43" spans="5:14" ht="12.75">
      <c r="E43" s="17"/>
      <c r="F43" s="17"/>
      <c r="G43" s="17"/>
      <c r="H43" s="17"/>
      <c r="I43" s="17"/>
      <c r="J43" s="17"/>
      <c r="K43" s="17"/>
      <c r="L43" s="17"/>
      <c r="M43" s="17"/>
      <c r="N43" s="17"/>
    </row>
    <row r="44" spans="5:14" ht="12.75">
      <c r="E44" s="17"/>
      <c r="F44" s="17"/>
      <c r="G44" s="17"/>
      <c r="H44" s="17"/>
      <c r="I44" s="17"/>
      <c r="J44" s="17"/>
      <c r="K44" s="17"/>
      <c r="L44" s="17"/>
      <c r="M44" s="17"/>
      <c r="N44" s="17"/>
    </row>
    <row r="45" spans="1:14" ht="15.75" customHeight="1">
      <c r="A45" s="10"/>
      <c r="B45" s="10"/>
      <c r="C45" s="10"/>
      <c r="D45" s="10"/>
      <c r="E45" s="10"/>
      <c r="F45" s="10"/>
      <c r="G45" s="10"/>
      <c r="H45" s="10"/>
      <c r="K45" s="11"/>
      <c r="L45" s="345"/>
      <c r="M45" s="345"/>
      <c r="N45" s="345"/>
    </row>
    <row r="46" spans="1:14" ht="15.75" customHeight="1">
      <c r="A46" s="559" t="s">
        <v>989</v>
      </c>
      <c r="B46" s="559"/>
      <c r="C46" s="559"/>
      <c r="F46" s="559" t="s">
        <v>990</v>
      </c>
      <c r="G46" s="559"/>
      <c r="H46" s="559"/>
      <c r="I46" s="345"/>
      <c r="J46" s="345"/>
      <c r="K46" s="345"/>
      <c r="M46" s="559" t="s">
        <v>996</v>
      </c>
      <c r="N46" s="559"/>
    </row>
    <row r="47" spans="1:14" ht="15.75">
      <c r="A47" s="559" t="s">
        <v>991</v>
      </c>
      <c r="B47" s="559"/>
      <c r="C47" s="559"/>
      <c r="F47" s="559" t="s">
        <v>992</v>
      </c>
      <c r="G47" s="559"/>
      <c r="H47" s="559"/>
      <c r="I47" s="345"/>
      <c r="J47" s="345"/>
      <c r="K47" s="345"/>
      <c r="M47" s="559" t="s">
        <v>993</v>
      </c>
      <c r="N47" s="559"/>
    </row>
    <row r="48" spans="1:14" ht="12.75">
      <c r="A48" s="559" t="s">
        <v>994</v>
      </c>
      <c r="B48" s="559"/>
      <c r="C48" s="559"/>
      <c r="F48" s="559" t="s">
        <v>995</v>
      </c>
      <c r="G48" s="559"/>
      <c r="H48" s="559"/>
      <c r="K48" s="29"/>
      <c r="M48" s="559" t="s">
        <v>995</v>
      </c>
      <c r="N48" s="559"/>
    </row>
    <row r="49" spans="1:14" ht="12.75">
      <c r="A49" s="354"/>
      <c r="B49" s="354"/>
      <c r="C49" s="354"/>
      <c r="D49" s="354"/>
      <c r="E49" s="354"/>
      <c r="F49" s="354"/>
      <c r="G49" s="354"/>
      <c r="H49" s="354"/>
      <c r="I49" s="354"/>
      <c r="J49" s="354"/>
      <c r="K49" s="354"/>
      <c r="L49" s="354"/>
      <c r="M49" s="354"/>
      <c r="N49" s="354"/>
    </row>
  </sheetData>
  <sheetProtection/>
  <mergeCells count="22">
    <mergeCell ref="M48:N48"/>
    <mergeCell ref="A7:B7"/>
    <mergeCell ref="M47:N47"/>
    <mergeCell ref="A48:C48"/>
    <mergeCell ref="F48:H48"/>
    <mergeCell ref="A35:B35"/>
    <mergeCell ref="A47:C47"/>
    <mergeCell ref="A46:C46"/>
    <mergeCell ref="F46:H46"/>
    <mergeCell ref="M8:M9"/>
    <mergeCell ref="M46:N46"/>
    <mergeCell ref="F47:H47"/>
    <mergeCell ref="H8:L8"/>
    <mergeCell ref="B8:B9"/>
    <mergeCell ref="C8:G8"/>
    <mergeCell ref="N8:N9"/>
    <mergeCell ref="A8:A9"/>
    <mergeCell ref="D1:J1"/>
    <mergeCell ref="A2:N2"/>
    <mergeCell ref="A3:N3"/>
    <mergeCell ref="A5:N5"/>
    <mergeCell ref="L7:N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U48"/>
  <sheetViews>
    <sheetView view="pageBreakPreview" zoomScale="70" zoomScaleSheetLayoutView="70" zoomScalePageLayoutView="0" workbookViewId="0" topLeftCell="A4">
      <selection activeCell="U11" sqref="U11:U34"/>
    </sheetView>
  </sheetViews>
  <sheetFormatPr defaultColWidth="9.140625" defaultRowHeight="12.75"/>
  <cols>
    <col min="1" max="1" width="7.140625" style="12" customWidth="1"/>
    <col min="2" max="2" width="15.421875" style="12" bestFit="1" customWidth="1"/>
    <col min="3" max="17" width="10.8515625" style="12" customWidth="1"/>
    <col min="18" max="16384" width="9.140625" style="12" customWidth="1"/>
  </cols>
  <sheetData>
    <row r="1" spans="15:17" ht="12.75" customHeight="1">
      <c r="O1" s="589" t="s">
        <v>54</v>
      </c>
      <c r="P1" s="589"/>
      <c r="Q1" s="589"/>
    </row>
    <row r="2" spans="1:17" ht="15">
      <c r="A2" s="684" t="s">
        <v>0</v>
      </c>
      <c r="B2" s="684"/>
      <c r="C2" s="684"/>
      <c r="D2" s="684"/>
      <c r="E2" s="684"/>
      <c r="F2" s="684"/>
      <c r="G2" s="684"/>
      <c r="H2" s="684"/>
      <c r="I2" s="684"/>
      <c r="J2" s="684"/>
      <c r="K2" s="684"/>
      <c r="L2" s="684"/>
      <c r="M2" s="684"/>
      <c r="N2" s="684"/>
      <c r="O2" s="684"/>
      <c r="P2" s="684"/>
      <c r="Q2" s="684"/>
    </row>
    <row r="3" spans="1:17" ht="20.25">
      <c r="A3" s="591" t="s">
        <v>645</v>
      </c>
      <c r="B3" s="591"/>
      <c r="C3" s="591"/>
      <c r="D3" s="591"/>
      <c r="E3" s="591"/>
      <c r="F3" s="591"/>
      <c r="G3" s="591"/>
      <c r="H3" s="591"/>
      <c r="I3" s="591"/>
      <c r="J3" s="591"/>
      <c r="K3" s="591"/>
      <c r="L3" s="591"/>
      <c r="M3" s="591"/>
      <c r="N3" s="591"/>
      <c r="O3" s="591"/>
      <c r="P3" s="591"/>
      <c r="Q3" s="591"/>
    </row>
    <row r="4" ht="11.25" customHeight="1"/>
    <row r="5" spans="1:17" ht="15.75" customHeight="1">
      <c r="A5" s="691" t="s">
        <v>654</v>
      </c>
      <c r="B5" s="691"/>
      <c r="C5" s="691"/>
      <c r="D5" s="691"/>
      <c r="E5" s="691"/>
      <c r="F5" s="691"/>
      <c r="G5" s="691"/>
      <c r="H5" s="691"/>
      <c r="I5" s="691"/>
      <c r="J5" s="691"/>
      <c r="K5" s="691"/>
      <c r="L5" s="691"/>
      <c r="M5" s="691"/>
      <c r="N5" s="691"/>
      <c r="O5" s="691"/>
      <c r="P5" s="691"/>
      <c r="Q5" s="691"/>
    </row>
    <row r="7" spans="1:17" ht="12.75">
      <c r="A7" s="593" t="s">
        <v>956</v>
      </c>
      <c r="B7" s="593"/>
      <c r="N7" s="689" t="s">
        <v>959</v>
      </c>
      <c r="O7" s="689"/>
      <c r="P7" s="689"/>
      <c r="Q7" s="689"/>
    </row>
    <row r="8" spans="1:17" s="366" customFormat="1" ht="24" customHeight="1">
      <c r="A8" s="571" t="s">
        <v>1</v>
      </c>
      <c r="B8" s="571" t="s">
        <v>2</v>
      </c>
      <c r="C8" s="571" t="s">
        <v>655</v>
      </c>
      <c r="D8" s="571"/>
      <c r="E8" s="571"/>
      <c r="F8" s="571"/>
      <c r="G8" s="571"/>
      <c r="H8" s="690" t="s">
        <v>693</v>
      </c>
      <c r="I8" s="571"/>
      <c r="J8" s="571"/>
      <c r="K8" s="571"/>
      <c r="L8" s="571"/>
      <c r="M8" s="692" t="s">
        <v>105</v>
      </c>
      <c r="N8" s="693"/>
      <c r="O8" s="693"/>
      <c r="P8" s="693"/>
      <c r="Q8" s="690"/>
    </row>
    <row r="9" spans="1:18" s="241" customFormat="1" ht="60" customHeight="1">
      <c r="A9" s="571"/>
      <c r="B9" s="571"/>
      <c r="C9" s="206" t="s">
        <v>212</v>
      </c>
      <c r="D9" s="206" t="s">
        <v>213</v>
      </c>
      <c r="E9" s="206" t="s">
        <v>358</v>
      </c>
      <c r="F9" s="206" t="s">
        <v>220</v>
      </c>
      <c r="G9" s="346" t="s">
        <v>113</v>
      </c>
      <c r="H9" s="206" t="s">
        <v>212</v>
      </c>
      <c r="I9" s="206" t="s">
        <v>213</v>
      </c>
      <c r="J9" s="206" t="s">
        <v>358</v>
      </c>
      <c r="K9" s="206" t="s">
        <v>220</v>
      </c>
      <c r="L9" s="206" t="s">
        <v>361</v>
      </c>
      <c r="M9" s="206" t="s">
        <v>212</v>
      </c>
      <c r="N9" s="206" t="s">
        <v>213</v>
      </c>
      <c r="O9" s="206" t="s">
        <v>358</v>
      </c>
      <c r="P9" s="206" t="s">
        <v>220</v>
      </c>
      <c r="Q9" s="206" t="s">
        <v>115</v>
      </c>
      <c r="R9" s="187"/>
    </row>
    <row r="10" spans="1:17" s="366" customFormat="1" ht="12.75">
      <c r="A10" s="83">
        <v>1</v>
      </c>
      <c r="B10" s="83">
        <v>2</v>
      </c>
      <c r="C10" s="83">
        <v>3</v>
      </c>
      <c r="D10" s="83">
        <v>4</v>
      </c>
      <c r="E10" s="83">
        <v>5</v>
      </c>
      <c r="F10" s="83">
        <v>6</v>
      </c>
      <c r="G10" s="367">
        <v>7</v>
      </c>
      <c r="H10" s="83">
        <v>8</v>
      </c>
      <c r="I10" s="83">
        <v>9</v>
      </c>
      <c r="J10" s="83">
        <v>10</v>
      </c>
      <c r="K10" s="83">
        <v>11</v>
      </c>
      <c r="L10" s="83">
        <v>12</v>
      </c>
      <c r="M10" s="83">
        <v>13</v>
      </c>
      <c r="N10" s="83">
        <v>14</v>
      </c>
      <c r="O10" s="83">
        <v>15</v>
      </c>
      <c r="P10" s="83">
        <v>16</v>
      </c>
      <c r="Q10" s="83">
        <v>17</v>
      </c>
    </row>
    <row r="11" spans="1:21" ht="12.75">
      <c r="A11" s="14">
        <v>1</v>
      </c>
      <c r="B11" s="224" t="s">
        <v>831</v>
      </c>
      <c r="C11" s="15">
        <v>148140</v>
      </c>
      <c r="D11" s="15">
        <v>29764</v>
      </c>
      <c r="E11" s="15">
        <v>871</v>
      </c>
      <c r="F11" s="535">
        <v>252</v>
      </c>
      <c r="G11" s="535">
        <f aca="true" t="shared" si="0" ref="G11:G34">SUM(C11:F11)</f>
        <v>179027</v>
      </c>
      <c r="H11" s="512">
        <f>M11/246</f>
        <v>108009.32520325204</v>
      </c>
      <c r="I11" s="512">
        <f>N11/246</f>
        <v>21524.056910569107</v>
      </c>
      <c r="J11" s="512">
        <f>O11/S11</f>
        <v>0</v>
      </c>
      <c r="K11" s="512">
        <f>P11/246</f>
        <v>107.01219512195122</v>
      </c>
      <c r="L11" s="512">
        <f>SUM(H11:K11)</f>
        <v>129640.3943089431</v>
      </c>
      <c r="M11" s="512">
        <v>26570294</v>
      </c>
      <c r="N11" s="512">
        <v>5294918</v>
      </c>
      <c r="O11" s="512">
        <v>0</v>
      </c>
      <c r="P11" s="512">
        <v>26325</v>
      </c>
      <c r="Q11" s="512">
        <f>SUM(M11:P11)</f>
        <v>31891537</v>
      </c>
      <c r="R11" s="257">
        <v>3184.1732309999998</v>
      </c>
      <c r="S11" s="11">
        <f>Q11*0.0001</f>
        <v>3189.1537000000003</v>
      </c>
      <c r="T11" s="257">
        <f>S11-R11</f>
        <v>4.980469000000539</v>
      </c>
      <c r="U11" s="12">
        <f>C11+D11+F11</f>
        <v>178156</v>
      </c>
    </row>
    <row r="12" spans="1:21" ht="12.75">
      <c r="A12" s="14">
        <v>2</v>
      </c>
      <c r="B12" s="224" t="s">
        <v>832</v>
      </c>
      <c r="C12" s="15">
        <v>47765</v>
      </c>
      <c r="D12" s="15">
        <v>16162</v>
      </c>
      <c r="E12" s="15">
        <v>0</v>
      </c>
      <c r="F12" s="535">
        <v>0</v>
      </c>
      <c r="G12" s="535">
        <f t="shared" si="0"/>
        <v>63927</v>
      </c>
      <c r="H12" s="512">
        <f aca="true" t="shared" si="1" ref="H12:H34">M12/246</f>
        <v>34249.69512195122</v>
      </c>
      <c r="I12" s="512">
        <f aca="true" t="shared" si="2" ref="I12:I34">N12/246</f>
        <v>12881.239837398374</v>
      </c>
      <c r="J12" s="512">
        <f aca="true" t="shared" si="3" ref="J12:J34">O12/S12</f>
        <v>0</v>
      </c>
      <c r="K12" s="512">
        <f aca="true" t="shared" si="4" ref="K12:K34">P12/246</f>
        <v>0</v>
      </c>
      <c r="L12" s="512">
        <f aca="true" t="shared" si="5" ref="L12:L34">SUM(H12:K12)</f>
        <v>47130.93495934959</v>
      </c>
      <c r="M12" s="512">
        <v>8425425</v>
      </c>
      <c r="N12" s="512">
        <v>3168785</v>
      </c>
      <c r="O12" s="512">
        <v>0</v>
      </c>
      <c r="P12" s="512">
        <v>0</v>
      </c>
      <c r="Q12" s="512">
        <f aca="true" t="shared" si="6" ref="Q12:Q34">SUM(M12:P12)</f>
        <v>11594210</v>
      </c>
      <c r="R12" s="257">
        <v>1159.4209</v>
      </c>
      <c r="S12" s="11">
        <f aca="true" t="shared" si="7" ref="S12:S34">Q12*0.0001</f>
        <v>1159.421</v>
      </c>
      <c r="T12" s="257">
        <f aca="true" t="shared" si="8" ref="T12:T34">S12-R12</f>
        <v>9.999999997489795E-05</v>
      </c>
      <c r="U12" s="12">
        <f aca="true" t="shared" si="9" ref="U12:U34">C12+D12+F12</f>
        <v>63927</v>
      </c>
    </row>
    <row r="13" spans="1:21" ht="12.75">
      <c r="A13" s="14">
        <v>3</v>
      </c>
      <c r="B13" s="224" t="s">
        <v>833</v>
      </c>
      <c r="C13" s="15">
        <v>48811</v>
      </c>
      <c r="D13" s="15">
        <v>2485</v>
      </c>
      <c r="E13" s="15">
        <v>0</v>
      </c>
      <c r="F13" s="535">
        <v>0</v>
      </c>
      <c r="G13" s="535">
        <f t="shared" si="0"/>
        <v>51296</v>
      </c>
      <c r="H13" s="512">
        <f t="shared" si="1"/>
        <v>32942.71544715447</v>
      </c>
      <c r="I13" s="512">
        <f t="shared" si="2"/>
        <v>1981.1910569105692</v>
      </c>
      <c r="J13" s="512">
        <f t="shared" si="3"/>
        <v>0</v>
      </c>
      <c r="K13" s="512">
        <f t="shared" si="4"/>
        <v>0</v>
      </c>
      <c r="L13" s="512">
        <f t="shared" si="5"/>
        <v>34923.90650406504</v>
      </c>
      <c r="M13" s="512">
        <v>8103908</v>
      </c>
      <c r="N13" s="512">
        <v>487373</v>
      </c>
      <c r="O13" s="512">
        <v>0</v>
      </c>
      <c r="P13" s="512">
        <v>0</v>
      </c>
      <c r="Q13" s="512">
        <f t="shared" si="6"/>
        <v>8591281</v>
      </c>
      <c r="R13" s="257">
        <v>859.125</v>
      </c>
      <c r="S13" s="11">
        <f t="shared" si="7"/>
        <v>859.1281</v>
      </c>
      <c r="T13" s="257">
        <f t="shared" si="8"/>
        <v>0.003100000000017644</v>
      </c>
      <c r="U13" s="12">
        <f t="shared" si="9"/>
        <v>51296</v>
      </c>
    </row>
    <row r="14" spans="1:21" ht="12.75">
      <c r="A14" s="14">
        <v>4</v>
      </c>
      <c r="B14" s="224" t="s">
        <v>834</v>
      </c>
      <c r="C14" s="15">
        <v>92991</v>
      </c>
      <c r="D14" s="15">
        <v>33361</v>
      </c>
      <c r="E14" s="15">
        <v>0</v>
      </c>
      <c r="F14" s="535">
        <v>135</v>
      </c>
      <c r="G14" s="535">
        <f t="shared" si="0"/>
        <v>126487</v>
      </c>
      <c r="H14" s="512">
        <f t="shared" si="1"/>
        <v>75789.4756097561</v>
      </c>
      <c r="I14" s="512">
        <f t="shared" si="2"/>
        <v>23405.654471544716</v>
      </c>
      <c r="J14" s="512">
        <f t="shared" si="3"/>
        <v>0</v>
      </c>
      <c r="K14" s="512">
        <f t="shared" si="4"/>
        <v>114.66666666666667</v>
      </c>
      <c r="L14" s="512">
        <f t="shared" si="5"/>
        <v>99309.7967479675</v>
      </c>
      <c r="M14" s="512">
        <v>18644211</v>
      </c>
      <c r="N14" s="512">
        <v>5757791</v>
      </c>
      <c r="O14" s="512">
        <v>0</v>
      </c>
      <c r="P14" s="512">
        <v>28208</v>
      </c>
      <c r="Q14" s="512">
        <f t="shared" si="6"/>
        <v>24430210</v>
      </c>
      <c r="R14" s="257">
        <v>2443.0285</v>
      </c>
      <c r="S14" s="11">
        <f t="shared" si="7"/>
        <v>2443.021</v>
      </c>
      <c r="T14" s="257">
        <f t="shared" si="8"/>
        <v>-0.007499999999708962</v>
      </c>
      <c r="U14" s="12">
        <f t="shared" si="9"/>
        <v>126487</v>
      </c>
    </row>
    <row r="15" spans="1:21" ht="12.75">
      <c r="A15" s="14">
        <v>5</v>
      </c>
      <c r="B15" s="224" t="s">
        <v>835</v>
      </c>
      <c r="C15" s="15">
        <v>45055</v>
      </c>
      <c r="D15" s="15">
        <v>31311</v>
      </c>
      <c r="E15" s="15">
        <v>0</v>
      </c>
      <c r="F15" s="535">
        <v>0</v>
      </c>
      <c r="G15" s="535">
        <f>SUM(C15:F15)</f>
        <v>76366</v>
      </c>
      <c r="H15" s="512">
        <f t="shared" si="1"/>
        <v>29624.280487804877</v>
      </c>
      <c r="I15" s="512">
        <f t="shared" si="2"/>
        <v>22333.20325203252</v>
      </c>
      <c r="J15" s="512">
        <f t="shared" si="3"/>
        <v>0</v>
      </c>
      <c r="K15" s="512">
        <f t="shared" si="4"/>
        <v>0</v>
      </c>
      <c r="L15" s="512">
        <f t="shared" si="5"/>
        <v>51957.48373983739</v>
      </c>
      <c r="M15" s="512">
        <v>7287573</v>
      </c>
      <c r="N15" s="512">
        <v>5493968</v>
      </c>
      <c r="O15" s="512">
        <v>0</v>
      </c>
      <c r="P15" s="512">
        <v>0</v>
      </c>
      <c r="Q15" s="512">
        <f t="shared" si="6"/>
        <v>12781541</v>
      </c>
      <c r="R15" s="257">
        <v>1278.1478</v>
      </c>
      <c r="S15" s="11">
        <f t="shared" si="7"/>
        <v>1278.1541</v>
      </c>
      <c r="T15" s="257">
        <f t="shared" si="8"/>
        <v>0.006300000000010186</v>
      </c>
      <c r="U15" s="12">
        <f t="shared" si="9"/>
        <v>76366</v>
      </c>
    </row>
    <row r="16" spans="1:21" ht="12.75">
      <c r="A16" s="14">
        <v>6</v>
      </c>
      <c r="B16" s="224" t="s">
        <v>836</v>
      </c>
      <c r="C16" s="15">
        <v>103928</v>
      </c>
      <c r="D16" s="15">
        <v>12126</v>
      </c>
      <c r="E16" s="15">
        <v>0</v>
      </c>
      <c r="F16" s="535">
        <v>109</v>
      </c>
      <c r="G16" s="535">
        <f t="shared" si="0"/>
        <v>116163</v>
      </c>
      <c r="H16" s="512">
        <f t="shared" si="1"/>
        <v>77734.93495934959</v>
      </c>
      <c r="I16" s="512">
        <f t="shared" si="2"/>
        <v>9335.894308943089</v>
      </c>
      <c r="J16" s="512">
        <f t="shared" si="3"/>
        <v>0</v>
      </c>
      <c r="K16" s="512">
        <f t="shared" si="4"/>
        <v>41.7479674796748</v>
      </c>
      <c r="L16" s="512">
        <f t="shared" si="5"/>
        <v>87112.57723577235</v>
      </c>
      <c r="M16" s="512">
        <v>19122794</v>
      </c>
      <c r="N16" s="512">
        <v>2296630</v>
      </c>
      <c r="O16" s="512">
        <v>0</v>
      </c>
      <c r="P16" s="512">
        <v>10270</v>
      </c>
      <c r="Q16" s="512">
        <f t="shared" si="6"/>
        <v>21429694</v>
      </c>
      <c r="R16" s="257">
        <v>2142.9511</v>
      </c>
      <c r="S16" s="11">
        <f t="shared" si="7"/>
        <v>2142.9694</v>
      </c>
      <c r="T16" s="257">
        <f t="shared" si="8"/>
        <v>0.018299999999726424</v>
      </c>
      <c r="U16" s="12">
        <f t="shared" si="9"/>
        <v>116163</v>
      </c>
    </row>
    <row r="17" spans="1:21" ht="12.75">
      <c r="A17" s="14">
        <v>7</v>
      </c>
      <c r="B17" s="224" t="s">
        <v>837</v>
      </c>
      <c r="C17" s="15">
        <v>79642</v>
      </c>
      <c r="D17" s="15">
        <v>0</v>
      </c>
      <c r="E17" s="15">
        <v>0</v>
      </c>
      <c r="F17" s="535">
        <v>0</v>
      </c>
      <c r="G17" s="535">
        <f t="shared" si="0"/>
        <v>79642</v>
      </c>
      <c r="H17" s="512">
        <f t="shared" si="1"/>
        <v>60651.028455284555</v>
      </c>
      <c r="I17" s="512">
        <f t="shared" si="2"/>
        <v>0</v>
      </c>
      <c r="J17" s="512">
        <f t="shared" si="3"/>
        <v>0</v>
      </c>
      <c r="K17" s="512">
        <f t="shared" si="4"/>
        <v>0</v>
      </c>
      <c r="L17" s="512">
        <f t="shared" si="5"/>
        <v>60651.028455284555</v>
      </c>
      <c r="M17" s="512">
        <v>14920153</v>
      </c>
      <c r="N17" s="512">
        <v>0</v>
      </c>
      <c r="O17" s="512">
        <v>0</v>
      </c>
      <c r="P17" s="512">
        <v>0</v>
      </c>
      <c r="Q17" s="512">
        <f t="shared" si="6"/>
        <v>14920153</v>
      </c>
      <c r="R17" s="257">
        <v>1491.9899999999998</v>
      </c>
      <c r="S17" s="11">
        <f t="shared" si="7"/>
        <v>1492.0153</v>
      </c>
      <c r="T17" s="257">
        <f t="shared" si="8"/>
        <v>0.025300000000243017</v>
      </c>
      <c r="U17" s="12">
        <f t="shared" si="9"/>
        <v>79642</v>
      </c>
    </row>
    <row r="18" spans="1:21" ht="12.75">
      <c r="A18" s="14">
        <v>8</v>
      </c>
      <c r="B18" s="224" t="s">
        <v>838</v>
      </c>
      <c r="C18" s="15">
        <v>180263</v>
      </c>
      <c r="D18" s="15">
        <v>10082</v>
      </c>
      <c r="E18" s="15">
        <v>1041</v>
      </c>
      <c r="F18" s="535">
        <v>36</v>
      </c>
      <c r="G18" s="535">
        <f t="shared" si="0"/>
        <v>191422</v>
      </c>
      <c r="H18" s="512">
        <f t="shared" si="1"/>
        <v>119572.89837398374</v>
      </c>
      <c r="I18" s="512">
        <f t="shared" si="2"/>
        <v>6494.056910569106</v>
      </c>
      <c r="J18" s="512">
        <f t="shared" si="3"/>
        <v>0</v>
      </c>
      <c r="K18" s="512">
        <f t="shared" si="4"/>
        <v>39.27235772357724</v>
      </c>
      <c r="L18" s="512">
        <f t="shared" si="5"/>
        <v>126106.22764227643</v>
      </c>
      <c r="M18" s="512">
        <v>29414933</v>
      </c>
      <c r="N18" s="512">
        <v>1597538</v>
      </c>
      <c r="O18" s="512">
        <v>0</v>
      </c>
      <c r="P18" s="512">
        <v>9661</v>
      </c>
      <c r="Q18" s="512">
        <f t="shared" si="6"/>
        <v>31022132</v>
      </c>
      <c r="R18" s="257">
        <v>3102.21</v>
      </c>
      <c r="S18" s="11">
        <f t="shared" si="7"/>
        <v>3102.2132</v>
      </c>
      <c r="T18" s="257">
        <f t="shared" si="8"/>
        <v>0.003200000000106229</v>
      </c>
      <c r="U18" s="12">
        <f t="shared" si="9"/>
        <v>190381</v>
      </c>
    </row>
    <row r="19" spans="1:21" ht="12.75">
      <c r="A19" s="14">
        <v>9</v>
      </c>
      <c r="B19" s="224" t="s">
        <v>839</v>
      </c>
      <c r="C19" s="15">
        <v>279978</v>
      </c>
      <c r="D19" s="15">
        <v>1278</v>
      </c>
      <c r="E19" s="15">
        <v>0</v>
      </c>
      <c r="F19" s="535">
        <v>590</v>
      </c>
      <c r="G19" s="535">
        <f t="shared" si="0"/>
        <v>281846</v>
      </c>
      <c r="H19" s="512">
        <f t="shared" si="1"/>
        <v>188151.00406504064</v>
      </c>
      <c r="I19" s="512">
        <f t="shared" si="2"/>
        <v>1105.219512195122</v>
      </c>
      <c r="J19" s="512">
        <f t="shared" si="3"/>
        <v>0</v>
      </c>
      <c r="K19" s="512">
        <f t="shared" si="4"/>
        <v>489.6585365853659</v>
      </c>
      <c r="L19" s="512">
        <f t="shared" si="5"/>
        <v>189745.88211382114</v>
      </c>
      <c r="M19" s="512">
        <v>46285147</v>
      </c>
      <c r="N19" s="512">
        <v>271884</v>
      </c>
      <c r="O19" s="512">
        <v>0</v>
      </c>
      <c r="P19" s="512">
        <v>120456</v>
      </c>
      <c r="Q19" s="512">
        <f t="shared" si="6"/>
        <v>46677487</v>
      </c>
      <c r="R19" s="257">
        <v>4667.742</v>
      </c>
      <c r="S19" s="11">
        <f t="shared" si="7"/>
        <v>4667.7487</v>
      </c>
      <c r="T19" s="257">
        <f t="shared" si="8"/>
        <v>0.006699999999909778</v>
      </c>
      <c r="U19" s="12">
        <f t="shared" si="9"/>
        <v>281846</v>
      </c>
    </row>
    <row r="20" spans="1:21" ht="12.75">
      <c r="A20" s="14">
        <v>10</v>
      </c>
      <c r="B20" s="224" t="s">
        <v>840</v>
      </c>
      <c r="C20" s="15">
        <v>94530</v>
      </c>
      <c r="D20" s="15">
        <v>4297</v>
      </c>
      <c r="E20" s="15">
        <v>0</v>
      </c>
      <c r="F20" s="535">
        <v>0</v>
      </c>
      <c r="G20" s="535">
        <f t="shared" si="0"/>
        <v>98827</v>
      </c>
      <c r="H20" s="512">
        <f t="shared" si="1"/>
        <v>59921.727642276426</v>
      </c>
      <c r="I20" s="512">
        <f t="shared" si="2"/>
        <v>3241.548780487805</v>
      </c>
      <c r="J20" s="512">
        <f t="shared" si="3"/>
        <v>0</v>
      </c>
      <c r="K20" s="512">
        <f t="shared" si="4"/>
        <v>0</v>
      </c>
      <c r="L20" s="512">
        <f t="shared" si="5"/>
        <v>63163.27642276423</v>
      </c>
      <c r="M20" s="512">
        <v>14740745</v>
      </c>
      <c r="N20" s="512">
        <v>797421</v>
      </c>
      <c r="O20" s="512">
        <v>0</v>
      </c>
      <c r="P20" s="512">
        <v>0</v>
      </c>
      <c r="Q20" s="512">
        <f t="shared" si="6"/>
        <v>15538166</v>
      </c>
      <c r="R20" s="257">
        <v>1553.819</v>
      </c>
      <c r="S20" s="11">
        <f t="shared" si="7"/>
        <v>1553.8166</v>
      </c>
      <c r="T20" s="257">
        <f t="shared" si="8"/>
        <v>-0.002399999999852298</v>
      </c>
      <c r="U20" s="12">
        <f t="shared" si="9"/>
        <v>98827</v>
      </c>
    </row>
    <row r="21" spans="1:21" ht="12.75">
      <c r="A21" s="14">
        <v>11</v>
      </c>
      <c r="B21" s="224" t="s">
        <v>841</v>
      </c>
      <c r="C21" s="15">
        <v>162306</v>
      </c>
      <c r="D21" s="15">
        <v>1065</v>
      </c>
      <c r="E21" s="15">
        <v>1250</v>
      </c>
      <c r="F21" s="535">
        <v>126</v>
      </c>
      <c r="G21" s="535">
        <f t="shared" si="0"/>
        <v>164747</v>
      </c>
      <c r="H21" s="512">
        <f t="shared" si="1"/>
        <v>97629.70325203252</v>
      </c>
      <c r="I21" s="512">
        <f t="shared" si="2"/>
        <v>844.6382113821138</v>
      </c>
      <c r="J21" s="512">
        <f t="shared" si="3"/>
        <v>0</v>
      </c>
      <c r="K21" s="512">
        <f t="shared" si="4"/>
        <v>96.34552845528455</v>
      </c>
      <c r="L21" s="512">
        <f t="shared" si="5"/>
        <v>98570.68699186992</v>
      </c>
      <c r="M21" s="538">
        <v>24016907</v>
      </c>
      <c r="N21" s="538">
        <v>207781</v>
      </c>
      <c r="O21" s="538">
        <v>0</v>
      </c>
      <c r="P21" s="538">
        <v>23701</v>
      </c>
      <c r="Q21" s="538">
        <f t="shared" si="6"/>
        <v>24248389</v>
      </c>
      <c r="R21" s="257">
        <v>2415.8950000000004</v>
      </c>
      <c r="S21" s="11">
        <f t="shared" si="7"/>
        <v>2424.8389</v>
      </c>
      <c r="T21" s="257">
        <f t="shared" si="8"/>
        <v>8.943899999999758</v>
      </c>
      <c r="U21" s="12">
        <f t="shared" si="9"/>
        <v>163497</v>
      </c>
    </row>
    <row r="22" spans="1:21" ht="12.75">
      <c r="A22" s="14">
        <v>12</v>
      </c>
      <c r="B22" s="224" t="s">
        <v>842</v>
      </c>
      <c r="C22" s="15">
        <v>130092</v>
      </c>
      <c r="D22" s="15">
        <v>2931</v>
      </c>
      <c r="E22" s="15">
        <v>632</v>
      </c>
      <c r="F22" s="535">
        <v>1306</v>
      </c>
      <c r="G22" s="535">
        <f t="shared" si="0"/>
        <v>134961</v>
      </c>
      <c r="H22" s="512">
        <f t="shared" si="1"/>
        <v>97347.68292682926</v>
      </c>
      <c r="I22" s="512">
        <f t="shared" si="2"/>
        <v>1327.7073170731708</v>
      </c>
      <c r="J22" s="512">
        <f t="shared" si="3"/>
        <v>0</v>
      </c>
      <c r="K22" s="512">
        <f t="shared" si="4"/>
        <v>462.9349593495935</v>
      </c>
      <c r="L22" s="512">
        <f t="shared" si="5"/>
        <v>99138.32520325202</v>
      </c>
      <c r="M22" s="512">
        <v>23947530</v>
      </c>
      <c r="N22" s="512">
        <v>326616</v>
      </c>
      <c r="O22" s="512">
        <v>0</v>
      </c>
      <c r="P22" s="512">
        <v>113882</v>
      </c>
      <c r="Q22" s="512">
        <f t="shared" si="6"/>
        <v>24388028</v>
      </c>
      <c r="R22" s="257">
        <v>2436.212</v>
      </c>
      <c r="S22" s="11">
        <f t="shared" si="7"/>
        <v>2438.8028</v>
      </c>
      <c r="T22" s="257">
        <f t="shared" si="8"/>
        <v>2.5907999999999447</v>
      </c>
      <c r="U22" s="12">
        <f t="shared" si="9"/>
        <v>134329</v>
      </c>
    </row>
    <row r="23" spans="1:21" ht="12.75">
      <c r="A23" s="14">
        <v>13</v>
      </c>
      <c r="B23" s="224" t="s">
        <v>843</v>
      </c>
      <c r="C23" s="15">
        <v>54876</v>
      </c>
      <c r="D23" s="15">
        <v>696</v>
      </c>
      <c r="E23" s="15">
        <v>0</v>
      </c>
      <c r="F23" s="535">
        <v>210</v>
      </c>
      <c r="G23" s="535">
        <f t="shared" si="0"/>
        <v>55782</v>
      </c>
      <c r="H23" s="512">
        <f t="shared" si="1"/>
        <v>41867.528455284555</v>
      </c>
      <c r="I23" s="512">
        <f t="shared" si="2"/>
        <v>487.8008130081301</v>
      </c>
      <c r="J23" s="512">
        <f t="shared" si="3"/>
        <v>0</v>
      </c>
      <c r="K23" s="512">
        <f t="shared" si="4"/>
        <v>181.65853658536585</v>
      </c>
      <c r="L23" s="512">
        <f t="shared" si="5"/>
        <v>42536.98780487805</v>
      </c>
      <c r="M23" s="512">
        <v>10299412</v>
      </c>
      <c r="N23" s="512">
        <v>119999</v>
      </c>
      <c r="O23" s="512">
        <v>0</v>
      </c>
      <c r="P23" s="512">
        <v>44688</v>
      </c>
      <c r="Q23" s="512">
        <f t="shared" si="6"/>
        <v>10464099</v>
      </c>
      <c r="R23" s="257">
        <v>1046.2005</v>
      </c>
      <c r="S23" s="11">
        <f t="shared" si="7"/>
        <v>1046.4099</v>
      </c>
      <c r="T23" s="257">
        <f t="shared" si="8"/>
        <v>0.209400000000187</v>
      </c>
      <c r="U23" s="12">
        <f t="shared" si="9"/>
        <v>55782</v>
      </c>
    </row>
    <row r="24" spans="1:21" ht="12.75">
      <c r="A24" s="14">
        <v>14</v>
      </c>
      <c r="B24" s="224" t="s">
        <v>844</v>
      </c>
      <c r="C24" s="15">
        <v>69499</v>
      </c>
      <c r="D24" s="15">
        <v>0</v>
      </c>
      <c r="E24" s="15">
        <v>0</v>
      </c>
      <c r="F24" s="535">
        <v>0</v>
      </c>
      <c r="G24" s="535">
        <f t="shared" si="0"/>
        <v>69499</v>
      </c>
      <c r="H24" s="512">
        <f t="shared" si="1"/>
        <v>48411.09756097561</v>
      </c>
      <c r="I24" s="512">
        <f t="shared" si="2"/>
        <v>219.48373983739836</v>
      </c>
      <c r="J24" s="512">
        <f t="shared" si="3"/>
        <v>0</v>
      </c>
      <c r="K24" s="512">
        <f t="shared" si="4"/>
        <v>290.7479674796748</v>
      </c>
      <c r="L24" s="512">
        <f t="shared" si="5"/>
        <v>48921.32926829269</v>
      </c>
      <c r="M24" s="512">
        <v>11909130</v>
      </c>
      <c r="N24" s="512">
        <v>53993</v>
      </c>
      <c r="O24" s="512">
        <v>0</v>
      </c>
      <c r="P24" s="512">
        <v>71524</v>
      </c>
      <c r="Q24" s="512">
        <f t="shared" si="6"/>
        <v>12034647</v>
      </c>
      <c r="R24" s="257">
        <v>1203.48</v>
      </c>
      <c r="S24" s="11">
        <f t="shared" si="7"/>
        <v>1203.4647</v>
      </c>
      <c r="T24" s="257">
        <f t="shared" si="8"/>
        <v>-0.015300000000024738</v>
      </c>
      <c r="U24" s="12">
        <f t="shared" si="9"/>
        <v>69499</v>
      </c>
    </row>
    <row r="25" spans="1:21" ht="12.75">
      <c r="A25" s="14">
        <v>15</v>
      </c>
      <c r="B25" s="224" t="s">
        <v>845</v>
      </c>
      <c r="C25" s="15">
        <v>140522</v>
      </c>
      <c r="D25" s="15">
        <v>662</v>
      </c>
      <c r="E25" s="15">
        <v>0</v>
      </c>
      <c r="F25" s="535">
        <v>350</v>
      </c>
      <c r="G25" s="535">
        <f t="shared" si="0"/>
        <v>141534</v>
      </c>
      <c r="H25" s="512">
        <f t="shared" si="1"/>
        <v>98028.63008130081</v>
      </c>
      <c r="I25" s="512">
        <f t="shared" si="2"/>
        <v>501.9918699186992</v>
      </c>
      <c r="J25" s="512">
        <f t="shared" si="3"/>
        <v>0</v>
      </c>
      <c r="K25" s="512">
        <f t="shared" si="4"/>
        <v>229.34959349593495</v>
      </c>
      <c r="L25" s="512">
        <f t="shared" si="5"/>
        <v>98759.97154471544</v>
      </c>
      <c r="M25" s="512">
        <v>24115043</v>
      </c>
      <c r="N25" s="512">
        <v>123490</v>
      </c>
      <c r="O25" s="512">
        <v>0</v>
      </c>
      <c r="P25" s="512">
        <v>56420</v>
      </c>
      <c r="Q25" s="512">
        <f t="shared" si="6"/>
        <v>24294953</v>
      </c>
      <c r="R25" s="257">
        <v>2283.0899999999997</v>
      </c>
      <c r="S25" s="11">
        <f t="shared" si="7"/>
        <v>2429.4953</v>
      </c>
      <c r="T25" s="257">
        <f t="shared" si="8"/>
        <v>146.40530000000035</v>
      </c>
      <c r="U25" s="12">
        <f t="shared" si="9"/>
        <v>141534</v>
      </c>
    </row>
    <row r="26" spans="1:21" ht="12.75">
      <c r="A26" s="14">
        <v>16</v>
      </c>
      <c r="B26" s="224" t="s">
        <v>846</v>
      </c>
      <c r="C26" s="15">
        <v>282805</v>
      </c>
      <c r="D26" s="15">
        <v>6101</v>
      </c>
      <c r="E26" s="15">
        <v>0</v>
      </c>
      <c r="F26" s="535">
        <v>930</v>
      </c>
      <c r="G26" s="535">
        <f t="shared" si="0"/>
        <v>289836</v>
      </c>
      <c r="H26" s="512">
        <f t="shared" si="1"/>
        <v>167914.14227642276</v>
      </c>
      <c r="I26" s="512">
        <f t="shared" si="2"/>
        <v>3118.8455284552847</v>
      </c>
      <c r="J26" s="512">
        <f t="shared" si="3"/>
        <v>0</v>
      </c>
      <c r="K26" s="512">
        <f t="shared" si="4"/>
        <v>505.3373983739837</v>
      </c>
      <c r="L26" s="512">
        <f t="shared" si="5"/>
        <v>171538.32520325202</v>
      </c>
      <c r="M26" s="512">
        <v>41306879</v>
      </c>
      <c r="N26" s="512">
        <v>767236</v>
      </c>
      <c r="O26" s="512">
        <v>0</v>
      </c>
      <c r="P26" s="512">
        <v>124313</v>
      </c>
      <c r="Q26" s="512">
        <f t="shared" si="6"/>
        <v>42198428</v>
      </c>
      <c r="R26" s="257">
        <v>4219.84</v>
      </c>
      <c r="S26" s="11">
        <f t="shared" si="7"/>
        <v>4219.8428</v>
      </c>
      <c r="T26" s="257">
        <f t="shared" si="8"/>
        <v>0.002800000000206637</v>
      </c>
      <c r="U26" s="12">
        <f t="shared" si="9"/>
        <v>289836</v>
      </c>
    </row>
    <row r="27" spans="1:21" ht="12.75">
      <c r="A27" s="14">
        <v>17</v>
      </c>
      <c r="B27" s="224" t="s">
        <v>847</v>
      </c>
      <c r="C27" s="15">
        <v>147865</v>
      </c>
      <c r="D27" s="15">
        <v>3059</v>
      </c>
      <c r="E27" s="15">
        <v>0</v>
      </c>
      <c r="F27" s="535">
        <v>187</v>
      </c>
      <c r="G27" s="535">
        <f t="shared" si="0"/>
        <v>151111</v>
      </c>
      <c r="H27" s="512">
        <f t="shared" si="1"/>
        <v>97527.3861788618</v>
      </c>
      <c r="I27" s="512">
        <f t="shared" si="2"/>
        <v>5672.8983739837395</v>
      </c>
      <c r="J27" s="512">
        <f t="shared" si="3"/>
        <v>0</v>
      </c>
      <c r="K27" s="512">
        <f t="shared" si="4"/>
        <v>214.58536585365854</v>
      </c>
      <c r="L27" s="512">
        <f t="shared" si="5"/>
        <v>103414.8699186992</v>
      </c>
      <c r="M27" s="512">
        <v>23991737</v>
      </c>
      <c r="N27" s="512">
        <v>1395533</v>
      </c>
      <c r="O27" s="512">
        <v>0</v>
      </c>
      <c r="P27" s="512">
        <v>52788</v>
      </c>
      <c r="Q27" s="512">
        <f t="shared" si="6"/>
        <v>25440058</v>
      </c>
      <c r="R27" s="257">
        <v>2544.285</v>
      </c>
      <c r="S27" s="11">
        <f t="shared" si="7"/>
        <v>2544.0058</v>
      </c>
      <c r="T27" s="257">
        <f t="shared" si="8"/>
        <v>-0.27919999999994616</v>
      </c>
      <c r="U27" s="12">
        <f t="shared" si="9"/>
        <v>151111</v>
      </c>
    </row>
    <row r="28" spans="1:21" ht="12.75">
      <c r="A28" s="14">
        <v>18</v>
      </c>
      <c r="B28" s="224" t="s">
        <v>848</v>
      </c>
      <c r="C28" s="15">
        <v>119799</v>
      </c>
      <c r="D28" s="15">
        <v>354</v>
      </c>
      <c r="E28" s="15">
        <v>0</v>
      </c>
      <c r="F28" s="535">
        <v>105</v>
      </c>
      <c r="G28" s="535">
        <f t="shared" si="0"/>
        <v>120258</v>
      </c>
      <c r="H28" s="512">
        <f t="shared" si="1"/>
        <v>86218.35772357724</v>
      </c>
      <c r="I28" s="512">
        <f t="shared" si="2"/>
        <v>161.130081300813</v>
      </c>
      <c r="J28" s="512">
        <f t="shared" si="3"/>
        <v>0</v>
      </c>
      <c r="K28" s="512">
        <f t="shared" si="4"/>
        <v>72.8739837398374</v>
      </c>
      <c r="L28" s="512">
        <f t="shared" si="5"/>
        <v>86452.36178861788</v>
      </c>
      <c r="M28" s="512">
        <v>21209716</v>
      </c>
      <c r="N28" s="512">
        <v>39638</v>
      </c>
      <c r="O28" s="512">
        <v>0</v>
      </c>
      <c r="P28" s="512">
        <v>17927</v>
      </c>
      <c r="Q28" s="512">
        <f t="shared" si="6"/>
        <v>21267281</v>
      </c>
      <c r="R28" s="257">
        <v>2122.2400000000002</v>
      </c>
      <c r="S28" s="11">
        <f t="shared" si="7"/>
        <v>2126.7281000000003</v>
      </c>
      <c r="T28" s="257">
        <f t="shared" si="8"/>
        <v>4.488100000000031</v>
      </c>
      <c r="U28" s="12">
        <f t="shared" si="9"/>
        <v>120258</v>
      </c>
    </row>
    <row r="29" spans="1:21" ht="12.75">
      <c r="A29" s="14">
        <v>19</v>
      </c>
      <c r="B29" s="224" t="s">
        <v>849</v>
      </c>
      <c r="C29" s="15">
        <v>138721</v>
      </c>
      <c r="D29" s="15">
        <v>3034</v>
      </c>
      <c r="E29" s="15">
        <v>1300</v>
      </c>
      <c r="F29" s="535">
        <v>191</v>
      </c>
      <c r="G29" s="535">
        <f t="shared" si="0"/>
        <v>143246</v>
      </c>
      <c r="H29" s="512">
        <f t="shared" si="1"/>
        <v>89342.0487804878</v>
      </c>
      <c r="I29" s="512">
        <f t="shared" si="2"/>
        <v>3293.9634146341464</v>
      </c>
      <c r="J29" s="512">
        <f t="shared" si="3"/>
        <v>0</v>
      </c>
      <c r="K29" s="512">
        <f t="shared" si="4"/>
        <v>87.60162601626017</v>
      </c>
      <c r="L29" s="512">
        <f t="shared" si="5"/>
        <v>92723.6138211382</v>
      </c>
      <c r="M29" s="512">
        <v>21978144</v>
      </c>
      <c r="N29" s="512">
        <v>810315</v>
      </c>
      <c r="O29" s="512">
        <v>0</v>
      </c>
      <c r="P29" s="512">
        <v>21550</v>
      </c>
      <c r="Q29" s="512">
        <f t="shared" si="6"/>
        <v>22810009</v>
      </c>
      <c r="R29" s="257">
        <v>2260.822</v>
      </c>
      <c r="S29" s="11">
        <f t="shared" si="7"/>
        <v>2281.0009</v>
      </c>
      <c r="T29" s="257">
        <f t="shared" si="8"/>
        <v>20.178899999999885</v>
      </c>
      <c r="U29" s="12">
        <f t="shared" si="9"/>
        <v>141946</v>
      </c>
    </row>
    <row r="30" spans="1:21" ht="12.75">
      <c r="A30" s="14">
        <v>20</v>
      </c>
      <c r="B30" s="224" t="s">
        <v>850</v>
      </c>
      <c r="C30" s="15">
        <v>82616</v>
      </c>
      <c r="D30" s="15">
        <v>371</v>
      </c>
      <c r="E30" s="15">
        <v>0</v>
      </c>
      <c r="F30" s="535">
        <v>410</v>
      </c>
      <c r="G30" s="535">
        <f t="shared" si="0"/>
        <v>83397</v>
      </c>
      <c r="H30" s="512">
        <f t="shared" si="1"/>
        <v>55813</v>
      </c>
      <c r="I30" s="512">
        <f t="shared" si="2"/>
        <v>251.10569105691056</v>
      </c>
      <c r="J30" s="512">
        <f t="shared" si="3"/>
        <v>0</v>
      </c>
      <c r="K30" s="512">
        <f t="shared" si="4"/>
        <v>184.15853658536585</v>
      </c>
      <c r="L30" s="512">
        <f t="shared" si="5"/>
        <v>56248.26422764228</v>
      </c>
      <c r="M30" s="512">
        <v>13729998</v>
      </c>
      <c r="N30" s="512">
        <v>61772</v>
      </c>
      <c r="O30" s="512">
        <v>0</v>
      </c>
      <c r="P30" s="512">
        <v>45303</v>
      </c>
      <c r="Q30" s="512">
        <f t="shared" si="6"/>
        <v>13837073</v>
      </c>
      <c r="R30" s="257">
        <v>1383.75</v>
      </c>
      <c r="S30" s="11">
        <f t="shared" si="7"/>
        <v>1383.7073</v>
      </c>
      <c r="T30" s="257">
        <f t="shared" si="8"/>
        <v>-0.042699999999967986</v>
      </c>
      <c r="U30" s="12">
        <f t="shared" si="9"/>
        <v>83397</v>
      </c>
    </row>
    <row r="31" spans="1:21" ht="12.75">
      <c r="A31" s="14">
        <v>21</v>
      </c>
      <c r="B31" s="224" t="s">
        <v>851</v>
      </c>
      <c r="C31" s="15">
        <v>142198</v>
      </c>
      <c r="D31" s="15">
        <v>1010</v>
      </c>
      <c r="E31" s="15">
        <v>350</v>
      </c>
      <c r="F31" s="535">
        <v>6823</v>
      </c>
      <c r="G31" s="535">
        <f t="shared" si="0"/>
        <v>150381</v>
      </c>
      <c r="H31" s="512">
        <f t="shared" si="1"/>
        <v>91653.5325203252</v>
      </c>
      <c r="I31" s="512">
        <f t="shared" si="2"/>
        <v>1478.3861788617887</v>
      </c>
      <c r="J31" s="512">
        <f t="shared" si="3"/>
        <v>0</v>
      </c>
      <c r="K31" s="512">
        <f t="shared" si="4"/>
        <v>3671.9837398373984</v>
      </c>
      <c r="L31" s="512">
        <f t="shared" si="5"/>
        <v>96803.90243902439</v>
      </c>
      <c r="M31" s="512">
        <v>22546769</v>
      </c>
      <c r="N31" s="512">
        <v>363683</v>
      </c>
      <c r="O31" s="512">
        <v>0</v>
      </c>
      <c r="P31" s="512">
        <v>903308</v>
      </c>
      <c r="Q31" s="512">
        <f t="shared" si="6"/>
        <v>23813760</v>
      </c>
      <c r="R31" s="257">
        <v>2381.3770000000004</v>
      </c>
      <c r="S31" s="11">
        <f t="shared" si="7"/>
        <v>2381.376</v>
      </c>
      <c r="T31" s="257">
        <f t="shared" si="8"/>
        <v>-0.0010000000002037268</v>
      </c>
      <c r="U31" s="12">
        <f t="shared" si="9"/>
        <v>150031</v>
      </c>
    </row>
    <row r="32" spans="1:21" ht="13.5" customHeight="1">
      <c r="A32" s="14">
        <v>22</v>
      </c>
      <c r="B32" s="224" t="s">
        <v>852</v>
      </c>
      <c r="C32" s="15">
        <v>100073</v>
      </c>
      <c r="D32" s="15">
        <v>3239</v>
      </c>
      <c r="E32" s="15">
        <v>950</v>
      </c>
      <c r="F32" s="535">
        <v>5221</v>
      </c>
      <c r="G32" s="535">
        <f t="shared" si="0"/>
        <v>109483</v>
      </c>
      <c r="H32" s="512">
        <f t="shared" si="1"/>
        <v>62934.11382113821</v>
      </c>
      <c r="I32" s="512">
        <f t="shared" si="2"/>
        <v>2026.7926829268292</v>
      </c>
      <c r="J32" s="512">
        <f t="shared" si="3"/>
        <v>0</v>
      </c>
      <c r="K32" s="512">
        <f t="shared" si="4"/>
        <v>3283.7276422764226</v>
      </c>
      <c r="L32" s="512">
        <f t="shared" si="5"/>
        <v>68244.63414634147</v>
      </c>
      <c r="M32" s="539">
        <v>15481792</v>
      </c>
      <c r="N32" s="539">
        <v>498591</v>
      </c>
      <c r="O32" s="539">
        <v>0</v>
      </c>
      <c r="P32" s="539">
        <v>807797</v>
      </c>
      <c r="Q32" s="512">
        <f t="shared" si="6"/>
        <v>16788180</v>
      </c>
      <c r="R32" s="257">
        <v>1688.16</v>
      </c>
      <c r="S32" s="11">
        <f t="shared" si="7"/>
        <v>1678.818</v>
      </c>
      <c r="T32" s="257">
        <f t="shared" si="8"/>
        <v>-9.342000000000098</v>
      </c>
      <c r="U32" s="12">
        <f t="shared" si="9"/>
        <v>108533</v>
      </c>
    </row>
    <row r="33" spans="1:21" ht="12.75">
      <c r="A33" s="14">
        <v>23</v>
      </c>
      <c r="B33" s="224" t="s">
        <v>853</v>
      </c>
      <c r="C33" s="15">
        <v>147948</v>
      </c>
      <c r="D33" s="15">
        <v>2218</v>
      </c>
      <c r="E33" s="15">
        <v>0</v>
      </c>
      <c r="F33" s="535">
        <v>8986</v>
      </c>
      <c r="G33" s="535">
        <f t="shared" si="0"/>
        <v>159152</v>
      </c>
      <c r="H33" s="512">
        <f t="shared" si="1"/>
        <v>100657.418699187</v>
      </c>
      <c r="I33" s="512">
        <f t="shared" si="2"/>
        <v>1519.5040650406504</v>
      </c>
      <c r="J33" s="512">
        <f t="shared" si="3"/>
        <v>0</v>
      </c>
      <c r="K33" s="512">
        <f t="shared" si="4"/>
        <v>5865.6056910569105</v>
      </c>
      <c r="L33" s="512">
        <f t="shared" si="5"/>
        <v>108042.52845528456</v>
      </c>
      <c r="M33" s="512">
        <v>24761725</v>
      </c>
      <c r="N33" s="512">
        <v>373798</v>
      </c>
      <c r="O33" s="512">
        <v>0</v>
      </c>
      <c r="P33" s="512">
        <v>1442939</v>
      </c>
      <c r="Q33" s="512">
        <f t="shared" si="6"/>
        <v>26578462</v>
      </c>
      <c r="R33" s="257">
        <v>2657.8426</v>
      </c>
      <c r="S33" s="11">
        <f t="shared" si="7"/>
        <v>2657.8462</v>
      </c>
      <c r="T33" s="257">
        <f t="shared" si="8"/>
        <v>0.0036000000000058208</v>
      </c>
      <c r="U33" s="12">
        <f t="shared" si="9"/>
        <v>159152</v>
      </c>
    </row>
    <row r="34" spans="1:21" ht="12.75">
      <c r="A34" s="14">
        <v>24</v>
      </c>
      <c r="B34" s="224" t="s">
        <v>854</v>
      </c>
      <c r="C34" s="15">
        <v>179271</v>
      </c>
      <c r="D34" s="15">
        <v>707</v>
      </c>
      <c r="E34" s="15">
        <v>0</v>
      </c>
      <c r="F34" s="535">
        <v>598</v>
      </c>
      <c r="G34" s="535">
        <f t="shared" si="0"/>
        <v>180576</v>
      </c>
      <c r="H34" s="512">
        <f t="shared" si="1"/>
        <v>100313.63414634146</v>
      </c>
      <c r="I34" s="512">
        <f t="shared" si="2"/>
        <v>422.3292682926829</v>
      </c>
      <c r="J34" s="512">
        <f t="shared" si="3"/>
        <v>0</v>
      </c>
      <c r="K34" s="512">
        <f t="shared" si="4"/>
        <v>380.9918699186992</v>
      </c>
      <c r="L34" s="512">
        <f t="shared" si="5"/>
        <v>101116.95528455284</v>
      </c>
      <c r="M34" s="512">
        <v>24677154</v>
      </c>
      <c r="N34" s="512">
        <v>103893</v>
      </c>
      <c r="O34" s="512">
        <v>0</v>
      </c>
      <c r="P34" s="512">
        <v>93724</v>
      </c>
      <c r="Q34" s="512">
        <f t="shared" si="6"/>
        <v>24874771</v>
      </c>
      <c r="R34" s="257">
        <v>2487.4900000000002</v>
      </c>
      <c r="S34" s="11">
        <f t="shared" si="7"/>
        <v>2487.4771</v>
      </c>
      <c r="T34" s="257">
        <f t="shared" si="8"/>
        <v>-0.01290000000017244</v>
      </c>
      <c r="U34" s="12">
        <f t="shared" si="9"/>
        <v>180576</v>
      </c>
    </row>
    <row r="35" spans="1:17" s="11" customFormat="1" ht="12.75">
      <c r="A35" s="560" t="s">
        <v>13</v>
      </c>
      <c r="B35" s="561"/>
      <c r="C35" s="244">
        <f>SUM(C11:C34)</f>
        <v>3019694</v>
      </c>
      <c r="D35" s="244">
        <f>SUM(D11:D34)</f>
        <v>166313</v>
      </c>
      <c r="E35" s="244">
        <f>SUM(E11:E34)</f>
        <v>6394</v>
      </c>
      <c r="F35" s="244">
        <f>SUM(F11:F34)</f>
        <v>26565</v>
      </c>
      <c r="G35" s="244">
        <f>SUM(G11:G34)</f>
        <v>3218966</v>
      </c>
      <c r="H35" s="255">
        <f aca="true" t="shared" si="10" ref="H35:Q35">SUM(H11:H34)</f>
        <v>2022305.3617886177</v>
      </c>
      <c r="I35" s="255">
        <f t="shared" si="10"/>
        <v>123628.64227642278</v>
      </c>
      <c r="J35" s="255">
        <f t="shared" si="10"/>
        <v>0</v>
      </c>
      <c r="K35" s="255">
        <f t="shared" si="10"/>
        <v>16320.260162601626</v>
      </c>
      <c r="L35" s="255">
        <f t="shared" si="10"/>
        <v>2162254.264227642</v>
      </c>
      <c r="M35" s="255">
        <f t="shared" si="10"/>
        <v>497487119</v>
      </c>
      <c r="N35" s="255">
        <f t="shared" si="10"/>
        <v>30412646</v>
      </c>
      <c r="O35" s="255">
        <f t="shared" si="10"/>
        <v>0</v>
      </c>
      <c r="P35" s="255">
        <f t="shared" si="10"/>
        <v>4014784</v>
      </c>
      <c r="Q35" s="255">
        <f t="shared" si="10"/>
        <v>531914549</v>
      </c>
    </row>
    <row r="36" spans="1:17" ht="12.75">
      <c r="A36" s="64"/>
      <c r="B36" s="17"/>
      <c r="C36" s="17"/>
      <c r="D36" s="17"/>
      <c r="E36" s="17"/>
      <c r="F36" s="17"/>
      <c r="G36" s="17"/>
      <c r="H36" s="256"/>
      <c r="I36" s="256"/>
      <c r="J36" s="256"/>
      <c r="K36" s="256"/>
      <c r="L36" s="256"/>
      <c r="M36" s="256"/>
      <c r="N36" s="256"/>
      <c r="O36" s="256"/>
      <c r="P36" s="256"/>
      <c r="Q36" s="256"/>
    </row>
    <row r="37" ht="12.75">
      <c r="A37" s="16" t="s">
        <v>6</v>
      </c>
    </row>
    <row r="38" spans="1:16" ht="12.75">
      <c r="A38" s="12" t="s">
        <v>7</v>
      </c>
      <c r="P38" s="12">
        <f>1037116*0.00015</f>
        <v>155.5674</v>
      </c>
    </row>
    <row r="39" spans="1:12" ht="12.75">
      <c r="A39" s="12" t="s">
        <v>8</v>
      </c>
      <c r="I39" s="9"/>
      <c r="J39" s="9"/>
      <c r="K39" s="9"/>
      <c r="L39" s="9"/>
    </row>
    <row r="40" spans="1:12" ht="12.75">
      <c r="A40" s="12" t="s">
        <v>430</v>
      </c>
      <c r="J40" s="9"/>
      <c r="K40" s="9"/>
      <c r="L40" s="9"/>
    </row>
    <row r="41" spans="3:13" ht="12.75">
      <c r="C41" s="12" t="s">
        <v>431</v>
      </c>
      <c r="E41" s="17"/>
      <c r="F41" s="17"/>
      <c r="G41" s="17"/>
      <c r="H41" s="17"/>
      <c r="I41" s="17"/>
      <c r="J41" s="17"/>
      <c r="K41" s="17"/>
      <c r="L41" s="17"/>
      <c r="M41" s="17"/>
    </row>
    <row r="42" spans="5:13" ht="12.75">
      <c r="E42" s="17"/>
      <c r="F42" s="17"/>
      <c r="G42" s="17"/>
      <c r="H42" s="17"/>
      <c r="I42" s="17"/>
      <c r="J42" s="17"/>
      <c r="K42" s="17"/>
      <c r="L42" s="17"/>
      <c r="M42" s="17"/>
    </row>
    <row r="43" spans="5:13" ht="12.75">
      <c r="E43" s="17"/>
      <c r="F43" s="17"/>
      <c r="G43" s="17"/>
      <c r="H43" s="17"/>
      <c r="I43" s="17"/>
      <c r="J43" s="17"/>
      <c r="K43" s="17"/>
      <c r="L43" s="17"/>
      <c r="M43" s="17"/>
    </row>
    <row r="44" spans="1:17" ht="12.75">
      <c r="A44" s="11"/>
      <c r="B44" s="11"/>
      <c r="C44" s="11"/>
      <c r="D44" s="11"/>
      <c r="E44" s="11"/>
      <c r="F44" s="11"/>
      <c r="G44" s="11"/>
      <c r="I44" s="11"/>
      <c r="O44" s="68"/>
      <c r="P44" s="68"/>
      <c r="Q44" s="68"/>
    </row>
    <row r="45" spans="1:17" ht="12.75" customHeight="1">
      <c r="A45" s="559" t="s">
        <v>989</v>
      </c>
      <c r="B45" s="559"/>
      <c r="C45" s="559"/>
      <c r="I45" s="559" t="s">
        <v>990</v>
      </c>
      <c r="J45" s="559"/>
      <c r="K45" s="559"/>
      <c r="O45" s="559" t="s">
        <v>996</v>
      </c>
      <c r="P45" s="559"/>
      <c r="Q45" s="559"/>
    </row>
    <row r="46" spans="1:18" ht="12.75">
      <c r="A46" s="559" t="s">
        <v>991</v>
      </c>
      <c r="B46" s="559"/>
      <c r="C46" s="559"/>
      <c r="I46" s="559" t="s">
        <v>992</v>
      </c>
      <c r="J46" s="559"/>
      <c r="K46" s="559"/>
      <c r="O46" s="559" t="s">
        <v>993</v>
      </c>
      <c r="P46" s="559"/>
      <c r="Q46" s="559"/>
      <c r="R46" s="68"/>
    </row>
    <row r="47" spans="1:17" ht="12.75">
      <c r="A47" s="559" t="s">
        <v>994</v>
      </c>
      <c r="B47" s="559"/>
      <c r="C47" s="559"/>
      <c r="I47" s="559" t="s">
        <v>995</v>
      </c>
      <c r="J47" s="559"/>
      <c r="K47" s="559"/>
      <c r="O47" s="559" t="s">
        <v>995</v>
      </c>
      <c r="P47" s="559"/>
      <c r="Q47" s="559"/>
    </row>
    <row r="48" spans="1:12" ht="12.75">
      <c r="A48" s="687"/>
      <c r="B48" s="687"/>
      <c r="C48" s="687"/>
      <c r="D48" s="687"/>
      <c r="E48" s="687"/>
      <c r="F48" s="687"/>
      <c r="G48" s="687"/>
      <c r="H48" s="687"/>
      <c r="I48" s="687"/>
      <c r="J48" s="687"/>
      <c r="K48" s="687"/>
      <c r="L48" s="687"/>
    </row>
  </sheetData>
  <sheetProtection/>
  <mergeCells count="22">
    <mergeCell ref="A5:Q5"/>
    <mergeCell ref="A3:Q3"/>
    <mergeCell ref="M8:Q8"/>
    <mergeCell ref="A2:Q2"/>
    <mergeCell ref="A7:B7"/>
    <mergeCell ref="N7:Q7"/>
    <mergeCell ref="A46:C46"/>
    <mergeCell ref="I46:K46"/>
    <mergeCell ref="O1:Q1"/>
    <mergeCell ref="A8:A9"/>
    <mergeCell ref="B8:B9"/>
    <mergeCell ref="C8:G8"/>
    <mergeCell ref="H8:L8"/>
    <mergeCell ref="A48:L48"/>
    <mergeCell ref="A35:B35"/>
    <mergeCell ref="A45:C45"/>
    <mergeCell ref="I45:K45"/>
    <mergeCell ref="O45:Q45"/>
    <mergeCell ref="I47:K47"/>
    <mergeCell ref="O47:Q47"/>
    <mergeCell ref="O46:Q46"/>
    <mergeCell ref="A47:C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T47"/>
  <sheetViews>
    <sheetView view="pageBreakPreview" zoomScale="70" zoomScaleSheetLayoutView="70" zoomScalePageLayoutView="0" workbookViewId="0" topLeftCell="A1">
      <selection activeCell="G11" sqref="G11:G34"/>
    </sheetView>
  </sheetViews>
  <sheetFormatPr defaultColWidth="9.140625" defaultRowHeight="12.75"/>
  <cols>
    <col min="1" max="1" width="7.140625" style="12" customWidth="1"/>
    <col min="2" max="2" width="16.140625" style="12" customWidth="1"/>
    <col min="3" max="17" width="11.140625" style="12" customWidth="1"/>
    <col min="18" max="18" width="9.140625" style="12" hidden="1" customWidth="1"/>
    <col min="19" max="16384" width="9.140625" style="12" customWidth="1"/>
  </cols>
  <sheetData>
    <row r="1" spans="15:17" ht="12.75" customHeight="1">
      <c r="O1" s="589" t="s">
        <v>55</v>
      </c>
      <c r="P1" s="589"/>
      <c r="Q1" s="589"/>
    </row>
    <row r="2" spans="1:17" ht="15">
      <c r="A2" s="684" t="s">
        <v>0</v>
      </c>
      <c r="B2" s="684"/>
      <c r="C2" s="684"/>
      <c r="D2" s="684"/>
      <c r="E2" s="684"/>
      <c r="F2" s="684"/>
      <c r="G2" s="684"/>
      <c r="H2" s="684"/>
      <c r="I2" s="684"/>
      <c r="J2" s="684"/>
      <c r="K2" s="684"/>
      <c r="L2" s="684"/>
      <c r="M2" s="684"/>
      <c r="N2" s="684"/>
      <c r="O2" s="684"/>
      <c r="P2" s="684"/>
      <c r="Q2" s="684"/>
    </row>
    <row r="3" spans="1:17" ht="20.25">
      <c r="A3" s="591" t="s">
        <v>645</v>
      </c>
      <c r="B3" s="591"/>
      <c r="C3" s="591"/>
      <c r="D3" s="591"/>
      <c r="E3" s="591"/>
      <c r="F3" s="591"/>
      <c r="G3" s="591"/>
      <c r="H3" s="591"/>
      <c r="I3" s="591"/>
      <c r="J3" s="591"/>
      <c r="K3" s="591"/>
      <c r="L3" s="591"/>
      <c r="M3" s="591"/>
      <c r="N3" s="591"/>
      <c r="O3" s="591"/>
      <c r="P3" s="591"/>
      <c r="Q3" s="591"/>
    </row>
    <row r="4" ht="11.25" customHeight="1"/>
    <row r="5" spans="1:17" ht="15.75" customHeight="1">
      <c r="A5" s="691" t="s">
        <v>657</v>
      </c>
      <c r="B5" s="691"/>
      <c r="C5" s="691"/>
      <c r="D5" s="691"/>
      <c r="E5" s="691"/>
      <c r="F5" s="691"/>
      <c r="G5" s="691"/>
      <c r="H5" s="691"/>
      <c r="I5" s="691"/>
      <c r="J5" s="691"/>
      <c r="K5" s="691"/>
      <c r="L5" s="691"/>
      <c r="M5" s="691"/>
      <c r="N5" s="691"/>
      <c r="O5" s="691"/>
      <c r="P5" s="691"/>
      <c r="Q5" s="691"/>
    </row>
    <row r="7" spans="1:18" ht="12" customHeight="1">
      <c r="A7" s="593" t="s">
        <v>956</v>
      </c>
      <c r="B7" s="593"/>
      <c r="N7" s="689" t="s">
        <v>959</v>
      </c>
      <c r="O7" s="689"/>
      <c r="P7" s="689"/>
      <c r="Q7" s="689"/>
      <c r="R7" s="689"/>
    </row>
    <row r="8" spans="1:17" s="241" customFormat="1" ht="29.25" customHeight="1">
      <c r="A8" s="571" t="s">
        <v>1</v>
      </c>
      <c r="B8" s="571" t="s">
        <v>2</v>
      </c>
      <c r="C8" s="571" t="s">
        <v>658</v>
      </c>
      <c r="D8" s="571"/>
      <c r="E8" s="571"/>
      <c r="F8" s="571"/>
      <c r="G8" s="571"/>
      <c r="H8" s="571" t="s">
        <v>693</v>
      </c>
      <c r="I8" s="571"/>
      <c r="J8" s="571"/>
      <c r="K8" s="571"/>
      <c r="L8" s="571"/>
      <c r="M8" s="571" t="s">
        <v>105</v>
      </c>
      <c r="N8" s="571"/>
      <c r="O8" s="571"/>
      <c r="P8" s="571"/>
      <c r="Q8" s="571"/>
    </row>
    <row r="9" spans="1:19" s="241" customFormat="1" ht="38.25">
      <c r="A9" s="571"/>
      <c r="B9" s="571"/>
      <c r="C9" s="206" t="s">
        <v>212</v>
      </c>
      <c r="D9" s="206" t="s">
        <v>213</v>
      </c>
      <c r="E9" s="206" t="s">
        <v>358</v>
      </c>
      <c r="F9" s="206" t="s">
        <v>220</v>
      </c>
      <c r="G9" s="206" t="s">
        <v>113</v>
      </c>
      <c r="H9" s="206" t="s">
        <v>212</v>
      </c>
      <c r="I9" s="206" t="s">
        <v>213</v>
      </c>
      <c r="J9" s="206" t="s">
        <v>358</v>
      </c>
      <c r="K9" s="206" t="s">
        <v>220</v>
      </c>
      <c r="L9" s="206" t="s">
        <v>114</v>
      </c>
      <c r="M9" s="206" t="s">
        <v>212</v>
      </c>
      <c r="N9" s="206" t="s">
        <v>213</v>
      </c>
      <c r="O9" s="206" t="s">
        <v>358</v>
      </c>
      <c r="P9" s="206" t="s">
        <v>220</v>
      </c>
      <c r="Q9" s="206" t="s">
        <v>115</v>
      </c>
      <c r="R9" s="365"/>
      <c r="S9" s="187"/>
    </row>
    <row r="10" spans="1:17" s="241" customFormat="1" ht="12.75">
      <c r="A10" s="206">
        <v>1</v>
      </c>
      <c r="B10" s="206">
        <v>2</v>
      </c>
      <c r="C10" s="206">
        <v>3</v>
      </c>
      <c r="D10" s="206">
        <v>4</v>
      </c>
      <c r="E10" s="206">
        <v>5</v>
      </c>
      <c r="F10" s="206">
        <v>6</v>
      </c>
      <c r="G10" s="206">
        <v>7</v>
      </c>
      <c r="H10" s="206">
        <v>8</v>
      </c>
      <c r="I10" s="206">
        <v>9</v>
      </c>
      <c r="J10" s="206">
        <v>10</v>
      </c>
      <c r="K10" s="206">
        <v>11</v>
      </c>
      <c r="L10" s="206">
        <v>12</v>
      </c>
      <c r="M10" s="206">
        <v>13</v>
      </c>
      <c r="N10" s="206">
        <v>14</v>
      </c>
      <c r="O10" s="206">
        <v>15</v>
      </c>
      <c r="P10" s="206">
        <v>16</v>
      </c>
      <c r="Q10" s="206">
        <v>17</v>
      </c>
    </row>
    <row r="11" spans="1:20" ht="12.75">
      <c r="A11" s="14">
        <v>1</v>
      </c>
      <c r="B11" s="224" t="s">
        <v>831</v>
      </c>
      <c r="C11" s="15">
        <v>67302</v>
      </c>
      <c r="D11" s="15">
        <v>17194</v>
      </c>
      <c r="E11" s="15">
        <v>0</v>
      </c>
      <c r="F11" s="15">
        <v>123</v>
      </c>
      <c r="G11" s="15">
        <f>SUM(C11:F11)</f>
        <v>84619</v>
      </c>
      <c r="H11" s="512">
        <f>M11/T11</f>
        <v>44412.22672064777</v>
      </c>
      <c r="I11" s="512">
        <f>N11/T11</f>
        <v>12208.174089068825</v>
      </c>
      <c r="J11" s="512">
        <f>O11/291</f>
        <v>473.1340206185567</v>
      </c>
      <c r="K11" s="512">
        <f>P11/T11</f>
        <v>59.23481781376518</v>
      </c>
      <c r="L11" s="512">
        <f>SUM(H11:K11)</f>
        <v>57152.76964814891</v>
      </c>
      <c r="M11" s="512">
        <v>10969820</v>
      </c>
      <c r="N11" s="512">
        <v>3015419</v>
      </c>
      <c r="O11" s="512">
        <v>137682</v>
      </c>
      <c r="P11" s="512">
        <v>14631</v>
      </c>
      <c r="Q11" s="512">
        <f>SUM(M11:P11)</f>
        <v>14137552</v>
      </c>
      <c r="T11" s="12">
        <v>247</v>
      </c>
    </row>
    <row r="12" spans="1:20" ht="12.75">
      <c r="A12" s="14">
        <v>2</v>
      </c>
      <c r="B12" s="224" t="s">
        <v>832</v>
      </c>
      <c r="C12" s="15">
        <v>17092</v>
      </c>
      <c r="D12" s="15">
        <v>7141</v>
      </c>
      <c r="E12" s="15">
        <v>0</v>
      </c>
      <c r="F12" s="15">
        <v>0</v>
      </c>
      <c r="G12" s="15">
        <f aca="true" t="shared" si="0" ref="G12:G34">SUM(C12:F12)</f>
        <v>24233</v>
      </c>
      <c r="H12" s="512">
        <f aca="true" t="shared" si="1" ref="H12:H34">M12/T12</f>
        <v>11220.858299595142</v>
      </c>
      <c r="I12" s="512">
        <f aca="true" t="shared" si="2" ref="I12:I34">N12/T12</f>
        <v>5619.643724696356</v>
      </c>
      <c r="J12" s="512">
        <f aca="true" t="shared" si="3" ref="J12:J34">O12/291</f>
        <v>0</v>
      </c>
      <c r="K12" s="512">
        <f aca="true" t="shared" si="4" ref="K12:K34">P12/T12</f>
        <v>0</v>
      </c>
      <c r="L12" s="512">
        <f aca="true" t="shared" si="5" ref="L12:L35">SUM(H12:K12)</f>
        <v>16840.502024291498</v>
      </c>
      <c r="M12" s="512">
        <v>2771552</v>
      </c>
      <c r="N12" s="512">
        <v>1388052</v>
      </c>
      <c r="O12" s="512">
        <v>0</v>
      </c>
      <c r="P12" s="512">
        <v>0</v>
      </c>
      <c r="Q12" s="512">
        <f aca="true" t="shared" si="6" ref="Q12:Q34">SUM(M12:P12)</f>
        <v>4159604</v>
      </c>
      <c r="T12" s="12">
        <v>247</v>
      </c>
    </row>
    <row r="13" spans="1:20" ht="12.75">
      <c r="A13" s="14">
        <v>3</v>
      </c>
      <c r="B13" s="224" t="s">
        <v>833</v>
      </c>
      <c r="C13" s="15">
        <v>21696</v>
      </c>
      <c r="D13" s="15">
        <v>1229</v>
      </c>
      <c r="E13" s="15">
        <v>0</v>
      </c>
      <c r="F13" s="15">
        <v>0</v>
      </c>
      <c r="G13" s="15">
        <f t="shared" si="0"/>
        <v>22925</v>
      </c>
      <c r="H13" s="512">
        <f t="shared" si="1"/>
        <v>13148.623481781377</v>
      </c>
      <c r="I13" s="512">
        <f t="shared" si="2"/>
        <v>921.3076923076923</v>
      </c>
      <c r="J13" s="512">
        <f t="shared" si="3"/>
        <v>0</v>
      </c>
      <c r="K13" s="512">
        <f t="shared" si="4"/>
        <v>0</v>
      </c>
      <c r="L13" s="512">
        <f t="shared" si="5"/>
        <v>14069.931174089068</v>
      </c>
      <c r="M13" s="512">
        <v>3247710</v>
      </c>
      <c r="N13" s="512">
        <v>227563</v>
      </c>
      <c r="O13" s="512">
        <v>0</v>
      </c>
      <c r="P13" s="512">
        <v>0</v>
      </c>
      <c r="Q13" s="512">
        <f t="shared" si="6"/>
        <v>3475273</v>
      </c>
      <c r="T13" s="12">
        <v>247</v>
      </c>
    </row>
    <row r="14" spans="1:20" ht="12.75">
      <c r="A14" s="14">
        <v>4</v>
      </c>
      <c r="B14" s="224" t="s">
        <v>834</v>
      </c>
      <c r="C14" s="15">
        <v>34181</v>
      </c>
      <c r="D14" s="15">
        <v>10858</v>
      </c>
      <c r="E14" s="15">
        <v>0</v>
      </c>
      <c r="F14" s="15">
        <v>73</v>
      </c>
      <c r="G14" s="15">
        <f t="shared" si="0"/>
        <v>45112</v>
      </c>
      <c r="H14" s="512">
        <f t="shared" si="1"/>
        <v>27463.894736842107</v>
      </c>
      <c r="I14" s="512">
        <f t="shared" si="2"/>
        <v>8489.291497975708</v>
      </c>
      <c r="J14" s="512">
        <f t="shared" si="3"/>
        <v>0</v>
      </c>
      <c r="K14" s="512">
        <f t="shared" si="4"/>
        <v>46.36032388663968</v>
      </c>
      <c r="L14" s="512">
        <f t="shared" si="5"/>
        <v>35999.54655870445</v>
      </c>
      <c r="M14" s="512">
        <v>6783582</v>
      </c>
      <c r="N14" s="512">
        <v>2096855</v>
      </c>
      <c r="O14" s="512">
        <v>0</v>
      </c>
      <c r="P14" s="512">
        <v>11451</v>
      </c>
      <c r="Q14" s="512">
        <f t="shared" si="6"/>
        <v>8891888</v>
      </c>
      <c r="T14" s="12">
        <v>247</v>
      </c>
    </row>
    <row r="15" spans="1:20" ht="12.75">
      <c r="A15" s="14">
        <v>5</v>
      </c>
      <c r="B15" s="224" t="s">
        <v>835</v>
      </c>
      <c r="C15" s="15">
        <v>17381</v>
      </c>
      <c r="D15" s="15">
        <v>11399</v>
      </c>
      <c r="E15" s="15">
        <v>0</v>
      </c>
      <c r="F15" s="15">
        <v>0</v>
      </c>
      <c r="G15" s="15">
        <f>SUM(C15:F15)</f>
        <v>28780</v>
      </c>
      <c r="H15" s="512">
        <f t="shared" si="1"/>
        <v>11706.761133603239</v>
      </c>
      <c r="I15" s="512">
        <f t="shared" si="2"/>
        <v>8436.825910931175</v>
      </c>
      <c r="J15" s="512">
        <f t="shared" si="3"/>
        <v>0</v>
      </c>
      <c r="K15" s="512">
        <f t="shared" si="4"/>
        <v>0</v>
      </c>
      <c r="L15" s="512">
        <f t="shared" si="5"/>
        <v>20143.58704453441</v>
      </c>
      <c r="M15" s="512">
        <v>2891570</v>
      </c>
      <c r="N15" s="512">
        <v>2083896</v>
      </c>
      <c r="O15" s="512">
        <v>0</v>
      </c>
      <c r="P15" s="512">
        <v>0</v>
      </c>
      <c r="Q15" s="512">
        <f t="shared" si="6"/>
        <v>4975466</v>
      </c>
      <c r="T15" s="12">
        <v>247</v>
      </c>
    </row>
    <row r="16" spans="1:20" ht="12.75">
      <c r="A16" s="14">
        <v>6</v>
      </c>
      <c r="B16" s="224" t="s">
        <v>836</v>
      </c>
      <c r="C16" s="15">
        <v>54454</v>
      </c>
      <c r="D16" s="15">
        <v>13896</v>
      </c>
      <c r="E16" s="15">
        <v>0</v>
      </c>
      <c r="F16" s="15">
        <v>70</v>
      </c>
      <c r="G16" s="15">
        <f t="shared" si="0"/>
        <v>68420</v>
      </c>
      <c r="H16" s="512">
        <f t="shared" si="1"/>
        <v>37801.78542510122</v>
      </c>
      <c r="I16" s="512">
        <f t="shared" si="2"/>
        <v>6410.3036437246965</v>
      </c>
      <c r="J16" s="512">
        <f t="shared" si="3"/>
        <v>0</v>
      </c>
      <c r="K16" s="512">
        <f t="shared" si="4"/>
        <v>19.101214574898787</v>
      </c>
      <c r="L16" s="512">
        <f t="shared" si="5"/>
        <v>44231.190283400814</v>
      </c>
      <c r="M16" s="512">
        <v>9337041</v>
      </c>
      <c r="N16" s="512">
        <v>1583345</v>
      </c>
      <c r="O16" s="512">
        <v>0</v>
      </c>
      <c r="P16" s="512">
        <v>4718</v>
      </c>
      <c r="Q16" s="512">
        <f t="shared" si="6"/>
        <v>10925104</v>
      </c>
      <c r="T16" s="12">
        <v>247</v>
      </c>
    </row>
    <row r="17" spans="1:20" ht="12.75">
      <c r="A17" s="14">
        <v>7</v>
      </c>
      <c r="B17" s="224" t="s">
        <v>837</v>
      </c>
      <c r="C17" s="15">
        <v>48930</v>
      </c>
      <c r="D17" s="15">
        <v>0</v>
      </c>
      <c r="E17" s="15">
        <v>0</v>
      </c>
      <c r="F17" s="15">
        <v>0</v>
      </c>
      <c r="G17" s="15">
        <f t="shared" si="0"/>
        <v>48930</v>
      </c>
      <c r="H17" s="512">
        <f t="shared" si="1"/>
        <v>37508.25506072875</v>
      </c>
      <c r="I17" s="512">
        <f t="shared" si="2"/>
        <v>0</v>
      </c>
      <c r="J17" s="512">
        <f t="shared" si="3"/>
        <v>0</v>
      </c>
      <c r="K17" s="512">
        <f t="shared" si="4"/>
        <v>0</v>
      </c>
      <c r="L17" s="512">
        <f t="shared" si="5"/>
        <v>37508.25506072875</v>
      </c>
      <c r="M17" s="512">
        <v>9264539</v>
      </c>
      <c r="N17" s="512">
        <v>0</v>
      </c>
      <c r="O17" s="512">
        <v>0</v>
      </c>
      <c r="P17" s="512">
        <v>0</v>
      </c>
      <c r="Q17" s="512">
        <f t="shared" si="6"/>
        <v>9264539</v>
      </c>
      <c r="T17" s="12">
        <v>247</v>
      </c>
    </row>
    <row r="18" spans="1:20" ht="12.75">
      <c r="A18" s="14">
        <v>8</v>
      </c>
      <c r="B18" s="224" t="s">
        <v>838</v>
      </c>
      <c r="C18" s="15">
        <v>70397</v>
      </c>
      <c r="D18" s="15">
        <v>6544</v>
      </c>
      <c r="E18" s="15">
        <v>0</v>
      </c>
      <c r="F18" s="15">
        <v>52</v>
      </c>
      <c r="G18" s="15">
        <f t="shared" si="0"/>
        <v>76993</v>
      </c>
      <c r="H18" s="512">
        <f t="shared" si="1"/>
        <v>42749.80971659919</v>
      </c>
      <c r="I18" s="512">
        <f t="shared" si="2"/>
        <v>4257.161943319838</v>
      </c>
      <c r="J18" s="512">
        <f t="shared" si="3"/>
        <v>748.7525773195877</v>
      </c>
      <c r="K18" s="512">
        <f t="shared" si="4"/>
        <v>45.29554655870445</v>
      </c>
      <c r="L18" s="512">
        <f t="shared" si="5"/>
        <v>47801.019783797325</v>
      </c>
      <c r="M18" s="512">
        <v>10559203</v>
      </c>
      <c r="N18" s="512">
        <v>1051519</v>
      </c>
      <c r="O18" s="512">
        <v>217887</v>
      </c>
      <c r="P18" s="512">
        <v>11188</v>
      </c>
      <c r="Q18" s="512">
        <f t="shared" si="6"/>
        <v>11839797</v>
      </c>
      <c r="T18" s="12">
        <v>247</v>
      </c>
    </row>
    <row r="19" spans="1:20" ht="12.75">
      <c r="A19" s="14">
        <v>9</v>
      </c>
      <c r="B19" s="224" t="s">
        <v>839</v>
      </c>
      <c r="C19" s="15">
        <v>124856</v>
      </c>
      <c r="D19" s="15">
        <v>1115</v>
      </c>
      <c r="E19" s="15">
        <v>0</v>
      </c>
      <c r="F19" s="15">
        <v>551</v>
      </c>
      <c r="G19" s="15">
        <f t="shared" si="0"/>
        <v>126522</v>
      </c>
      <c r="H19" s="512">
        <f t="shared" si="1"/>
        <v>80463.4008097166</v>
      </c>
      <c r="I19" s="512">
        <f t="shared" si="2"/>
        <v>982.6356275303643</v>
      </c>
      <c r="J19" s="512">
        <f t="shared" si="3"/>
        <v>0</v>
      </c>
      <c r="K19" s="512">
        <f t="shared" si="4"/>
        <v>470.63157894736844</v>
      </c>
      <c r="L19" s="512">
        <f t="shared" si="5"/>
        <v>81916.66801619434</v>
      </c>
      <c r="M19" s="512">
        <v>19874460</v>
      </c>
      <c r="N19" s="512">
        <v>242711</v>
      </c>
      <c r="O19" s="512">
        <v>0</v>
      </c>
      <c r="P19" s="512">
        <v>116246</v>
      </c>
      <c r="Q19" s="512">
        <f t="shared" si="6"/>
        <v>20233417</v>
      </c>
      <c r="T19" s="12">
        <v>247</v>
      </c>
    </row>
    <row r="20" spans="1:20" ht="12.75">
      <c r="A20" s="14">
        <v>10</v>
      </c>
      <c r="B20" s="224" t="s">
        <v>840</v>
      </c>
      <c r="C20" s="15">
        <v>42126</v>
      </c>
      <c r="D20" s="15">
        <v>2406</v>
      </c>
      <c r="E20" s="15">
        <v>0</v>
      </c>
      <c r="F20" s="15">
        <v>0</v>
      </c>
      <c r="G20" s="15">
        <f t="shared" si="0"/>
        <v>44532</v>
      </c>
      <c r="H20" s="512">
        <f t="shared" si="1"/>
        <v>25141.214574898786</v>
      </c>
      <c r="I20" s="512">
        <f t="shared" si="2"/>
        <v>1880.9149797570851</v>
      </c>
      <c r="J20" s="512">
        <f t="shared" si="3"/>
        <v>0</v>
      </c>
      <c r="K20" s="512">
        <f t="shared" si="4"/>
        <v>0</v>
      </c>
      <c r="L20" s="512">
        <f t="shared" si="5"/>
        <v>27022.129554655872</v>
      </c>
      <c r="M20" s="512">
        <v>6209880</v>
      </c>
      <c r="N20" s="512">
        <v>464586</v>
      </c>
      <c r="O20" s="512">
        <v>0</v>
      </c>
      <c r="P20" s="512">
        <v>0</v>
      </c>
      <c r="Q20" s="512">
        <f t="shared" si="6"/>
        <v>6674466</v>
      </c>
      <c r="T20" s="12">
        <v>247</v>
      </c>
    </row>
    <row r="21" spans="1:20" ht="12.75">
      <c r="A21" s="14">
        <v>11</v>
      </c>
      <c r="B21" s="224" t="s">
        <v>841</v>
      </c>
      <c r="C21" s="15">
        <v>75193</v>
      </c>
      <c r="D21" s="15">
        <v>664</v>
      </c>
      <c r="E21" s="15">
        <v>0</v>
      </c>
      <c r="F21" s="15">
        <v>116</v>
      </c>
      <c r="G21" s="15">
        <f t="shared" si="0"/>
        <v>75973</v>
      </c>
      <c r="H21" s="512">
        <f t="shared" si="1"/>
        <v>40001.914979757086</v>
      </c>
      <c r="I21" s="512">
        <f t="shared" si="2"/>
        <v>553.9757085020243</v>
      </c>
      <c r="J21" s="512">
        <f t="shared" si="3"/>
        <v>651.3367697594501</v>
      </c>
      <c r="K21" s="512">
        <f t="shared" si="4"/>
        <v>65.68016194331983</v>
      </c>
      <c r="L21" s="512">
        <f t="shared" si="5"/>
        <v>41272.90761996188</v>
      </c>
      <c r="M21" s="512">
        <v>9880473</v>
      </c>
      <c r="N21" s="512">
        <v>136832</v>
      </c>
      <c r="O21" s="512">
        <v>189539</v>
      </c>
      <c r="P21" s="512">
        <v>16223</v>
      </c>
      <c r="Q21" s="512">
        <f t="shared" si="6"/>
        <v>10223067</v>
      </c>
      <c r="T21" s="12">
        <v>247</v>
      </c>
    </row>
    <row r="22" spans="1:20" ht="12.75">
      <c r="A22" s="14">
        <v>12</v>
      </c>
      <c r="B22" s="224" t="s">
        <v>842</v>
      </c>
      <c r="C22" s="15">
        <v>65359</v>
      </c>
      <c r="D22" s="15">
        <v>3496</v>
      </c>
      <c r="E22" s="15">
        <v>0</v>
      </c>
      <c r="F22" s="15">
        <v>421</v>
      </c>
      <c r="G22" s="15">
        <f t="shared" si="0"/>
        <v>69276</v>
      </c>
      <c r="H22" s="512">
        <f t="shared" si="1"/>
        <v>44747.82186234818</v>
      </c>
      <c r="I22" s="512">
        <f t="shared" si="2"/>
        <v>1266.2712550607287</v>
      </c>
      <c r="J22" s="512">
        <f t="shared" si="3"/>
        <v>112.59450171821305</v>
      </c>
      <c r="K22" s="512">
        <f t="shared" si="4"/>
        <v>129.8906882591093</v>
      </c>
      <c r="L22" s="512">
        <f t="shared" si="5"/>
        <v>46256.57830738624</v>
      </c>
      <c r="M22" s="512">
        <v>11052712</v>
      </c>
      <c r="N22" s="512">
        <v>312769</v>
      </c>
      <c r="O22" s="512">
        <v>32765</v>
      </c>
      <c r="P22" s="512">
        <v>32083</v>
      </c>
      <c r="Q22" s="512">
        <f t="shared" si="6"/>
        <v>11430329</v>
      </c>
      <c r="T22" s="12">
        <v>247</v>
      </c>
    </row>
    <row r="23" spans="1:20" ht="12.75">
      <c r="A23" s="14">
        <v>13</v>
      </c>
      <c r="B23" s="224" t="s">
        <v>843</v>
      </c>
      <c r="C23" s="15">
        <v>31222</v>
      </c>
      <c r="D23" s="15">
        <v>410</v>
      </c>
      <c r="E23" s="15">
        <v>0</v>
      </c>
      <c r="F23" s="15">
        <v>260</v>
      </c>
      <c r="G23" s="15">
        <f t="shared" si="0"/>
        <v>31892</v>
      </c>
      <c r="H23" s="512">
        <f t="shared" si="1"/>
        <v>21161.2995951417</v>
      </c>
      <c r="I23" s="512">
        <f t="shared" si="2"/>
        <v>285.582995951417</v>
      </c>
      <c r="J23" s="512">
        <f t="shared" si="3"/>
        <v>0</v>
      </c>
      <c r="K23" s="512">
        <f t="shared" si="4"/>
        <v>194.05668016194332</v>
      </c>
      <c r="L23" s="512">
        <f t="shared" si="5"/>
        <v>21640.939271255058</v>
      </c>
      <c r="M23" s="512">
        <v>5226841</v>
      </c>
      <c r="N23" s="512">
        <v>70539</v>
      </c>
      <c r="O23" s="512">
        <v>0</v>
      </c>
      <c r="P23" s="512">
        <v>47932</v>
      </c>
      <c r="Q23" s="512">
        <f t="shared" si="6"/>
        <v>5345312</v>
      </c>
      <c r="T23" s="12">
        <v>247</v>
      </c>
    </row>
    <row r="24" spans="1:20" ht="12.75">
      <c r="A24" s="14">
        <v>14</v>
      </c>
      <c r="B24" s="224" t="s">
        <v>844</v>
      </c>
      <c r="C24" s="15">
        <v>33156</v>
      </c>
      <c r="D24" s="15">
        <v>0</v>
      </c>
      <c r="E24" s="15">
        <v>0</v>
      </c>
      <c r="F24" s="15">
        <v>0</v>
      </c>
      <c r="G24" s="15">
        <f t="shared" si="0"/>
        <v>33156</v>
      </c>
      <c r="H24" s="512">
        <f t="shared" si="1"/>
        <v>22007.894736842107</v>
      </c>
      <c r="I24" s="512">
        <f t="shared" si="2"/>
        <v>100.48582995951416</v>
      </c>
      <c r="J24" s="512">
        <f t="shared" si="3"/>
        <v>0</v>
      </c>
      <c r="K24" s="512">
        <f t="shared" si="4"/>
        <v>121.8502024291498</v>
      </c>
      <c r="L24" s="512">
        <f t="shared" si="5"/>
        <v>22230.23076923077</v>
      </c>
      <c r="M24" s="512">
        <v>5435950</v>
      </c>
      <c r="N24" s="512">
        <v>24820</v>
      </c>
      <c r="O24" s="512">
        <v>0</v>
      </c>
      <c r="P24" s="512">
        <v>30097</v>
      </c>
      <c r="Q24" s="512">
        <f t="shared" si="6"/>
        <v>5490867</v>
      </c>
      <c r="T24" s="12">
        <v>247</v>
      </c>
    </row>
    <row r="25" spans="1:20" ht="12.75">
      <c r="A25" s="14">
        <v>15</v>
      </c>
      <c r="B25" s="224" t="s">
        <v>845</v>
      </c>
      <c r="C25" s="15">
        <v>60082</v>
      </c>
      <c r="D25" s="15">
        <v>452</v>
      </c>
      <c r="E25" s="15">
        <v>0</v>
      </c>
      <c r="F25" s="15">
        <v>134</v>
      </c>
      <c r="G25" s="15">
        <f t="shared" si="0"/>
        <v>60668</v>
      </c>
      <c r="H25" s="512">
        <f t="shared" si="1"/>
        <v>41431.35222672065</v>
      </c>
      <c r="I25" s="512">
        <f t="shared" si="2"/>
        <v>394.85425101214577</v>
      </c>
      <c r="J25" s="512">
        <f t="shared" si="3"/>
        <v>0</v>
      </c>
      <c r="K25" s="512">
        <f t="shared" si="4"/>
        <v>128.79352226720647</v>
      </c>
      <c r="L25" s="512">
        <f t="shared" si="5"/>
        <v>41955.00000000001</v>
      </c>
      <c r="M25" s="512">
        <v>10233544</v>
      </c>
      <c r="N25" s="512">
        <v>97529</v>
      </c>
      <c r="O25" s="512">
        <v>0</v>
      </c>
      <c r="P25" s="512">
        <v>31812</v>
      </c>
      <c r="Q25" s="512">
        <f t="shared" si="6"/>
        <v>10362885</v>
      </c>
      <c r="T25" s="12">
        <v>247</v>
      </c>
    </row>
    <row r="26" spans="1:20" ht="12.75">
      <c r="A26" s="14">
        <v>16</v>
      </c>
      <c r="B26" s="224" t="s">
        <v>846</v>
      </c>
      <c r="C26" s="15">
        <v>115160</v>
      </c>
      <c r="D26" s="15">
        <v>3105</v>
      </c>
      <c r="E26" s="15">
        <v>0</v>
      </c>
      <c r="F26" s="15">
        <v>815</v>
      </c>
      <c r="G26" s="15">
        <f t="shared" si="0"/>
        <v>119080</v>
      </c>
      <c r="H26" s="512">
        <f t="shared" si="1"/>
        <v>62870.79352226721</v>
      </c>
      <c r="I26" s="512">
        <f t="shared" si="2"/>
        <v>1566.82995951417</v>
      </c>
      <c r="J26" s="512">
        <f t="shared" si="3"/>
        <v>0</v>
      </c>
      <c r="K26" s="512">
        <f t="shared" si="4"/>
        <v>410.9838056680162</v>
      </c>
      <c r="L26" s="512">
        <f t="shared" si="5"/>
        <v>64848.6072874494</v>
      </c>
      <c r="M26" s="512">
        <v>15529086</v>
      </c>
      <c r="N26" s="512">
        <v>387007</v>
      </c>
      <c r="O26" s="512">
        <v>0</v>
      </c>
      <c r="P26" s="512">
        <v>101513</v>
      </c>
      <c r="Q26" s="512">
        <f t="shared" si="6"/>
        <v>16017606</v>
      </c>
      <c r="T26" s="12">
        <v>247</v>
      </c>
    </row>
    <row r="27" spans="1:20" ht="12.75">
      <c r="A27" s="14">
        <v>17</v>
      </c>
      <c r="B27" s="224" t="s">
        <v>847</v>
      </c>
      <c r="C27" s="15">
        <v>81309</v>
      </c>
      <c r="D27" s="15">
        <v>3404</v>
      </c>
      <c r="E27" s="15">
        <v>0</v>
      </c>
      <c r="F27" s="15">
        <v>62</v>
      </c>
      <c r="G27" s="15">
        <f t="shared" si="0"/>
        <v>84775</v>
      </c>
      <c r="H27" s="512">
        <f t="shared" si="1"/>
        <v>48520.8987854251</v>
      </c>
      <c r="I27" s="512">
        <f t="shared" si="2"/>
        <v>2067.6072874493925</v>
      </c>
      <c r="J27" s="512">
        <f t="shared" si="3"/>
        <v>0</v>
      </c>
      <c r="K27" s="512">
        <f t="shared" si="4"/>
        <v>56.008097165991906</v>
      </c>
      <c r="L27" s="512">
        <f t="shared" si="5"/>
        <v>50644.514170040486</v>
      </c>
      <c r="M27" s="512">
        <v>11984662</v>
      </c>
      <c r="N27" s="512">
        <v>510699</v>
      </c>
      <c r="O27" s="512">
        <v>0</v>
      </c>
      <c r="P27" s="512">
        <v>13834</v>
      </c>
      <c r="Q27" s="512">
        <f t="shared" si="6"/>
        <v>12509195</v>
      </c>
      <c r="T27" s="12">
        <v>247</v>
      </c>
    </row>
    <row r="28" spans="1:20" ht="12.75">
      <c r="A28" s="14">
        <v>18</v>
      </c>
      <c r="B28" s="224" t="s">
        <v>848</v>
      </c>
      <c r="C28" s="15">
        <v>67301</v>
      </c>
      <c r="D28" s="15">
        <v>810</v>
      </c>
      <c r="E28" s="15">
        <v>0</v>
      </c>
      <c r="F28" s="15">
        <v>56</v>
      </c>
      <c r="G28" s="15">
        <f t="shared" si="0"/>
        <v>68167</v>
      </c>
      <c r="H28" s="512">
        <f t="shared" si="1"/>
        <v>42838.77327935223</v>
      </c>
      <c r="I28" s="512">
        <f t="shared" si="2"/>
        <v>282.08097165991904</v>
      </c>
      <c r="J28" s="512">
        <f t="shared" si="3"/>
        <v>0</v>
      </c>
      <c r="K28" s="512">
        <f t="shared" si="4"/>
        <v>31.267206477732792</v>
      </c>
      <c r="L28" s="512">
        <f t="shared" si="5"/>
        <v>43152.121457489884</v>
      </c>
      <c r="M28" s="512">
        <v>10581177</v>
      </c>
      <c r="N28" s="512">
        <v>69674</v>
      </c>
      <c r="O28" s="512">
        <v>0</v>
      </c>
      <c r="P28" s="512">
        <v>7723</v>
      </c>
      <c r="Q28" s="512">
        <f t="shared" si="6"/>
        <v>10658574</v>
      </c>
      <c r="T28" s="12">
        <v>247</v>
      </c>
    </row>
    <row r="29" spans="1:20" ht="12.75">
      <c r="A29" s="14">
        <v>19</v>
      </c>
      <c r="B29" s="224" t="s">
        <v>849</v>
      </c>
      <c r="C29" s="15">
        <v>63847</v>
      </c>
      <c r="D29" s="15">
        <v>1722</v>
      </c>
      <c r="E29" s="15">
        <v>0</v>
      </c>
      <c r="F29" s="15">
        <v>96</v>
      </c>
      <c r="G29" s="15">
        <f t="shared" si="0"/>
        <v>65665</v>
      </c>
      <c r="H29" s="512">
        <f t="shared" si="1"/>
        <v>33304.36437246964</v>
      </c>
      <c r="I29" s="512">
        <f t="shared" si="2"/>
        <v>985.3562753036438</v>
      </c>
      <c r="J29" s="512">
        <f t="shared" si="3"/>
        <v>607.020618556701</v>
      </c>
      <c r="K29" s="512">
        <f t="shared" si="4"/>
        <v>46.67611336032389</v>
      </c>
      <c r="L29" s="512">
        <f t="shared" si="5"/>
        <v>34943.417379690305</v>
      </c>
      <c r="M29" s="512">
        <v>8226178</v>
      </c>
      <c r="N29" s="512">
        <v>243383</v>
      </c>
      <c r="O29" s="512">
        <v>176643</v>
      </c>
      <c r="P29" s="512">
        <v>11529</v>
      </c>
      <c r="Q29" s="512">
        <f t="shared" si="6"/>
        <v>8657733</v>
      </c>
      <c r="T29" s="12">
        <v>247</v>
      </c>
    </row>
    <row r="30" spans="1:20" ht="12.75">
      <c r="A30" s="14">
        <v>20</v>
      </c>
      <c r="B30" s="224" t="s">
        <v>850</v>
      </c>
      <c r="C30" s="15">
        <v>38860</v>
      </c>
      <c r="D30" s="15">
        <v>257</v>
      </c>
      <c r="E30" s="15">
        <v>0</v>
      </c>
      <c r="F30" s="15">
        <v>201</v>
      </c>
      <c r="G30" s="15">
        <f t="shared" si="0"/>
        <v>39318</v>
      </c>
      <c r="H30" s="512">
        <f t="shared" si="1"/>
        <v>23276.534412955465</v>
      </c>
      <c r="I30" s="512">
        <f t="shared" si="2"/>
        <v>162.27125506072875</v>
      </c>
      <c r="J30" s="512">
        <f t="shared" si="3"/>
        <v>0</v>
      </c>
      <c r="K30" s="512">
        <f t="shared" si="4"/>
        <v>79.23076923076923</v>
      </c>
      <c r="L30" s="512">
        <f t="shared" si="5"/>
        <v>23518.036437246963</v>
      </c>
      <c r="M30" s="512">
        <v>5749304</v>
      </c>
      <c r="N30" s="512">
        <v>40081</v>
      </c>
      <c r="O30" s="512">
        <v>0</v>
      </c>
      <c r="P30" s="512">
        <v>19570</v>
      </c>
      <c r="Q30" s="512">
        <f t="shared" si="6"/>
        <v>5808955</v>
      </c>
      <c r="T30" s="12">
        <v>247</v>
      </c>
    </row>
    <row r="31" spans="1:20" ht="15">
      <c r="A31" s="14">
        <v>21</v>
      </c>
      <c r="B31" s="224" t="s">
        <v>851</v>
      </c>
      <c r="C31" s="15">
        <v>51314</v>
      </c>
      <c r="D31" s="15">
        <v>652</v>
      </c>
      <c r="E31" s="15">
        <v>0</v>
      </c>
      <c r="F31" s="15">
        <v>4380</v>
      </c>
      <c r="G31" s="15">
        <f t="shared" si="0"/>
        <v>56346</v>
      </c>
      <c r="H31" s="512">
        <f t="shared" si="1"/>
        <v>26492.732793522267</v>
      </c>
      <c r="I31" s="512">
        <f t="shared" si="2"/>
        <v>579.8947368421053</v>
      </c>
      <c r="J31" s="512">
        <f t="shared" si="3"/>
        <v>406.25429553264604</v>
      </c>
      <c r="K31" s="512">
        <f t="shared" si="4"/>
        <v>1439.1133603238866</v>
      </c>
      <c r="L31" s="512">
        <f t="shared" si="5"/>
        <v>28917.995186220905</v>
      </c>
      <c r="M31" s="537">
        <v>6543705</v>
      </c>
      <c r="N31" s="537">
        <v>143234</v>
      </c>
      <c r="O31" s="537">
        <v>118220</v>
      </c>
      <c r="P31" s="537">
        <v>355461</v>
      </c>
      <c r="Q31" s="512">
        <f t="shared" si="6"/>
        <v>7160620</v>
      </c>
      <c r="T31" s="12">
        <v>247</v>
      </c>
    </row>
    <row r="32" spans="1:20" ht="14.25" customHeight="1">
      <c r="A32" s="14">
        <v>22</v>
      </c>
      <c r="B32" s="224" t="s">
        <v>852</v>
      </c>
      <c r="C32" s="15">
        <v>30423</v>
      </c>
      <c r="D32" s="15">
        <v>2265</v>
      </c>
      <c r="E32" s="15">
        <v>0</v>
      </c>
      <c r="F32" s="15">
        <v>1915</v>
      </c>
      <c r="G32" s="15">
        <f t="shared" si="0"/>
        <v>34603</v>
      </c>
      <c r="H32" s="512">
        <f t="shared" si="1"/>
        <v>18082.906882591094</v>
      </c>
      <c r="I32" s="512">
        <f t="shared" si="2"/>
        <v>1203.2793522267207</v>
      </c>
      <c r="J32" s="512">
        <f t="shared" si="3"/>
        <v>174.19243986254295</v>
      </c>
      <c r="K32" s="512">
        <f t="shared" si="4"/>
        <v>1452.076923076923</v>
      </c>
      <c r="L32" s="512">
        <f t="shared" si="5"/>
        <v>20912.455597757278</v>
      </c>
      <c r="M32" s="512">
        <v>4466478</v>
      </c>
      <c r="N32" s="512">
        <v>297210</v>
      </c>
      <c r="O32" s="512">
        <v>50690</v>
      </c>
      <c r="P32" s="512">
        <v>358663</v>
      </c>
      <c r="Q32" s="512">
        <f t="shared" si="6"/>
        <v>5173041</v>
      </c>
      <c r="T32" s="12">
        <v>247</v>
      </c>
    </row>
    <row r="33" spans="1:20" ht="12.75">
      <c r="A33" s="14">
        <v>23</v>
      </c>
      <c r="B33" s="224" t="s">
        <v>853</v>
      </c>
      <c r="C33" s="15">
        <v>56777</v>
      </c>
      <c r="D33" s="15">
        <v>1202</v>
      </c>
      <c r="E33" s="15">
        <v>0</v>
      </c>
      <c r="F33" s="15">
        <v>4507</v>
      </c>
      <c r="G33" s="15">
        <f t="shared" si="0"/>
        <v>62486</v>
      </c>
      <c r="H33" s="512">
        <f t="shared" si="1"/>
        <v>37115.52631578947</v>
      </c>
      <c r="I33" s="512">
        <f t="shared" si="2"/>
        <v>555.4858299595141</v>
      </c>
      <c r="J33" s="512">
        <f t="shared" si="3"/>
        <v>0</v>
      </c>
      <c r="K33" s="512">
        <f t="shared" si="4"/>
        <v>2829.8582995951415</v>
      </c>
      <c r="L33" s="512">
        <f t="shared" si="5"/>
        <v>40500.87044534413</v>
      </c>
      <c r="M33" s="512">
        <v>9167535</v>
      </c>
      <c r="N33" s="512">
        <v>137205</v>
      </c>
      <c r="O33" s="512">
        <v>0</v>
      </c>
      <c r="P33" s="512">
        <v>698975</v>
      </c>
      <c r="Q33" s="512">
        <f t="shared" si="6"/>
        <v>10003715</v>
      </c>
      <c r="T33" s="12">
        <v>247</v>
      </c>
    </row>
    <row r="34" spans="1:20" ht="12.75">
      <c r="A34" s="14">
        <v>24</v>
      </c>
      <c r="B34" s="224" t="s">
        <v>854</v>
      </c>
      <c r="C34" s="15">
        <v>82073</v>
      </c>
      <c r="D34" s="15">
        <v>190</v>
      </c>
      <c r="E34" s="15">
        <v>0</v>
      </c>
      <c r="F34" s="15">
        <v>107</v>
      </c>
      <c r="G34" s="15">
        <f t="shared" si="0"/>
        <v>82370</v>
      </c>
      <c r="H34" s="512">
        <f t="shared" si="1"/>
        <v>48151.506072874494</v>
      </c>
      <c r="I34" s="512">
        <f t="shared" si="2"/>
        <v>238.92307692307693</v>
      </c>
      <c r="J34" s="512">
        <f t="shared" si="3"/>
        <v>0</v>
      </c>
      <c r="K34" s="512">
        <f t="shared" si="4"/>
        <v>207.65182186234819</v>
      </c>
      <c r="L34" s="512">
        <f t="shared" si="5"/>
        <v>48598.08097165992</v>
      </c>
      <c r="M34" s="512">
        <v>11893422</v>
      </c>
      <c r="N34" s="512">
        <v>59014</v>
      </c>
      <c r="O34" s="512">
        <v>0</v>
      </c>
      <c r="P34" s="512">
        <v>51290</v>
      </c>
      <c r="Q34" s="512">
        <f t="shared" si="6"/>
        <v>12003726</v>
      </c>
      <c r="T34" s="12">
        <v>247</v>
      </c>
    </row>
    <row r="35" spans="1:17" s="11" customFormat="1" ht="12.75">
      <c r="A35" s="560" t="s">
        <v>13</v>
      </c>
      <c r="B35" s="561"/>
      <c r="C35" s="23">
        <f>SUM(C11:C34)</f>
        <v>1350491</v>
      </c>
      <c r="D35" s="23">
        <f aca="true" t="shared" si="7" ref="D35:Q35">SUM(D11:D34)</f>
        <v>90411</v>
      </c>
      <c r="E35" s="23">
        <f t="shared" si="7"/>
        <v>0</v>
      </c>
      <c r="F35" s="23">
        <f t="shared" si="7"/>
        <v>13939</v>
      </c>
      <c r="G35" s="23">
        <f t="shared" si="7"/>
        <v>1454841</v>
      </c>
      <c r="H35" s="226">
        <f t="shared" si="7"/>
        <v>841621.149797571</v>
      </c>
      <c r="I35" s="226">
        <f t="shared" si="7"/>
        <v>59449.157894736854</v>
      </c>
      <c r="J35" s="226">
        <f t="shared" si="7"/>
        <v>3173.2852233676977</v>
      </c>
      <c r="K35" s="226">
        <f t="shared" si="7"/>
        <v>7833.761133603239</v>
      </c>
      <c r="L35" s="226">
        <f t="shared" si="5"/>
        <v>912077.3540492789</v>
      </c>
      <c r="M35" s="23">
        <f t="shared" si="7"/>
        <v>207880424</v>
      </c>
      <c r="N35" s="23">
        <f t="shared" si="7"/>
        <v>14683942</v>
      </c>
      <c r="O35" s="23">
        <f t="shared" si="7"/>
        <v>923426</v>
      </c>
      <c r="P35" s="23">
        <f t="shared" si="7"/>
        <v>1934939</v>
      </c>
      <c r="Q35" s="23">
        <f t="shared" si="7"/>
        <v>225422731</v>
      </c>
    </row>
    <row r="36" spans="1:17" ht="12.75">
      <c r="A36" s="64"/>
      <c r="B36" s="17"/>
      <c r="C36" s="17"/>
      <c r="D36" s="17"/>
      <c r="E36" s="17"/>
      <c r="F36" s="17"/>
      <c r="G36" s="17"/>
      <c r="H36" s="17"/>
      <c r="I36" s="17"/>
      <c r="J36" s="17"/>
      <c r="K36" s="17"/>
      <c r="L36" s="17"/>
      <c r="M36" s="17"/>
      <c r="N36" s="17"/>
      <c r="O36" s="17"/>
      <c r="P36" s="17"/>
      <c r="Q36" s="17"/>
    </row>
    <row r="37" spans="1:12" ht="12.75">
      <c r="A37" s="16" t="s">
        <v>6</v>
      </c>
      <c r="L37" s="258"/>
    </row>
    <row r="38" ht="12.75">
      <c r="A38" s="12" t="s">
        <v>7</v>
      </c>
    </row>
    <row r="39" spans="1:12" ht="12.75">
      <c r="A39" s="12" t="s">
        <v>8</v>
      </c>
      <c r="I39" s="9"/>
      <c r="J39" s="9"/>
      <c r="K39" s="9"/>
      <c r="L39" s="9"/>
    </row>
    <row r="40" spans="1:12" ht="12.75">
      <c r="A40" s="12" t="s">
        <v>430</v>
      </c>
      <c r="J40" s="9"/>
      <c r="K40" s="9"/>
      <c r="L40" s="9"/>
    </row>
    <row r="41" spans="3:13" ht="12.75">
      <c r="C41" s="12" t="s">
        <v>432</v>
      </c>
      <c r="E41" s="17"/>
      <c r="F41" s="17"/>
      <c r="G41" s="17"/>
      <c r="H41" s="17"/>
      <c r="I41" s="17"/>
      <c r="J41" s="17"/>
      <c r="K41" s="17"/>
      <c r="L41" s="17"/>
      <c r="M41" s="17"/>
    </row>
    <row r="42" spans="15:17" ht="12.75">
      <c r="O42" s="354"/>
      <c r="P42" s="354"/>
      <c r="Q42" s="354"/>
    </row>
    <row r="43" spans="1:17" ht="12.75">
      <c r="A43" s="29"/>
      <c r="B43" s="29"/>
      <c r="C43" s="29"/>
      <c r="D43" s="29"/>
      <c r="E43" s="29"/>
      <c r="F43" s="29"/>
      <c r="G43" s="29"/>
      <c r="H43" s="354"/>
      <c r="I43" s="29"/>
      <c r="J43" s="354"/>
      <c r="K43" s="354"/>
      <c r="L43" s="354"/>
      <c r="M43" s="354"/>
      <c r="N43" s="354"/>
      <c r="O43" s="68"/>
      <c r="P43" s="68"/>
      <c r="Q43" s="68"/>
    </row>
    <row r="44" spans="1:18" ht="12.75" customHeight="1">
      <c r="A44" s="559" t="s">
        <v>989</v>
      </c>
      <c r="B44" s="559"/>
      <c r="C44" s="559"/>
      <c r="F44" s="559" t="s">
        <v>990</v>
      </c>
      <c r="G44" s="559"/>
      <c r="H44" s="559"/>
      <c r="I44" s="345"/>
      <c r="J44" s="345"/>
      <c r="K44" s="345"/>
      <c r="L44" s="559" t="s">
        <v>996</v>
      </c>
      <c r="M44" s="559"/>
      <c r="N44" s="559"/>
      <c r="O44" s="68"/>
      <c r="P44" s="68"/>
      <c r="Q44" s="68"/>
      <c r="R44" s="354"/>
    </row>
    <row r="45" spans="1:19" ht="15.75">
      <c r="A45" s="559" t="s">
        <v>991</v>
      </c>
      <c r="B45" s="559"/>
      <c r="C45" s="559"/>
      <c r="F45" s="559" t="s">
        <v>992</v>
      </c>
      <c r="G45" s="559"/>
      <c r="H45" s="559"/>
      <c r="I45" s="345"/>
      <c r="J45" s="345"/>
      <c r="K45" s="345"/>
      <c r="L45" s="559" t="s">
        <v>993</v>
      </c>
      <c r="M45" s="559"/>
      <c r="N45" s="559"/>
      <c r="O45" s="68"/>
      <c r="P45" s="68"/>
      <c r="Q45" s="68"/>
      <c r="R45" s="95"/>
      <c r="S45" s="95"/>
    </row>
    <row r="46" spans="1:17" ht="12.75">
      <c r="A46" s="559" t="s">
        <v>994</v>
      </c>
      <c r="B46" s="559"/>
      <c r="C46" s="559"/>
      <c r="F46" s="559" t="s">
        <v>995</v>
      </c>
      <c r="G46" s="559"/>
      <c r="H46" s="559"/>
      <c r="K46" s="29"/>
      <c r="L46" s="559" t="s">
        <v>995</v>
      </c>
      <c r="M46" s="559"/>
      <c r="N46" s="559"/>
      <c r="O46" s="29"/>
      <c r="P46" s="29"/>
      <c r="Q46" s="29"/>
    </row>
    <row r="47" spans="1:12" ht="12.75">
      <c r="A47" s="687"/>
      <c r="B47" s="687"/>
      <c r="C47" s="687"/>
      <c r="D47" s="687"/>
      <c r="E47" s="687"/>
      <c r="F47" s="687"/>
      <c r="G47" s="687"/>
      <c r="H47" s="687"/>
      <c r="I47" s="687"/>
      <c r="J47" s="687"/>
      <c r="K47" s="687"/>
      <c r="L47" s="687"/>
    </row>
  </sheetData>
  <sheetProtection/>
  <mergeCells count="22">
    <mergeCell ref="A47:L47"/>
    <mergeCell ref="O1:Q1"/>
    <mergeCell ref="M8:Q8"/>
    <mergeCell ref="A8:A9"/>
    <mergeCell ref="B8:B9"/>
    <mergeCell ref="A7:B7"/>
    <mergeCell ref="C8:G8"/>
    <mergeCell ref="H8:L8"/>
    <mergeCell ref="A46:C46"/>
    <mergeCell ref="F46:H46"/>
    <mergeCell ref="A44:C44"/>
    <mergeCell ref="N7:R7"/>
    <mergeCell ref="F45:H45"/>
    <mergeCell ref="L45:N45"/>
    <mergeCell ref="L46:N46"/>
    <mergeCell ref="A5:Q5"/>
    <mergeCell ref="A3:Q3"/>
    <mergeCell ref="A2:Q2"/>
    <mergeCell ref="A35:B35"/>
    <mergeCell ref="F44:H44"/>
    <mergeCell ref="L44:N44"/>
    <mergeCell ref="A45:C4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K42"/>
  <sheetViews>
    <sheetView view="pageBreakPreview" zoomScale="85" zoomScaleSheetLayoutView="85" zoomScalePageLayoutView="0" workbookViewId="0" topLeftCell="A1">
      <selection activeCell="F34" sqref="F34"/>
    </sheetView>
  </sheetViews>
  <sheetFormatPr defaultColWidth="9.140625" defaultRowHeight="12.75"/>
  <cols>
    <col min="1" max="1" width="6.00390625" style="12" customWidth="1"/>
    <col min="2" max="2" width="15.57421875" style="12" customWidth="1"/>
    <col min="3" max="3" width="17.28125" style="12" customWidth="1"/>
    <col min="4" max="4" width="19.00390625" style="12" customWidth="1"/>
    <col min="5" max="5" width="19.7109375" style="12" customWidth="1"/>
    <col min="6" max="6" width="18.8515625" style="12" customWidth="1"/>
    <col min="7" max="7" width="15.28125" style="12" customWidth="1"/>
    <col min="8" max="16384" width="9.140625" style="12" customWidth="1"/>
  </cols>
  <sheetData>
    <row r="1" ht="15">
      <c r="G1" s="518" t="s">
        <v>694</v>
      </c>
    </row>
    <row r="2" spans="1:7" ht="18">
      <c r="A2" s="675" t="s">
        <v>0</v>
      </c>
      <c r="B2" s="675"/>
      <c r="C2" s="675"/>
      <c r="D2" s="675"/>
      <c r="E2" s="675"/>
      <c r="F2" s="675"/>
      <c r="G2" s="675"/>
    </row>
    <row r="3" spans="1:7" ht="21">
      <c r="A3" s="676" t="s">
        <v>645</v>
      </c>
      <c r="B3" s="676"/>
      <c r="C3" s="676"/>
      <c r="D3" s="676"/>
      <c r="E3" s="676"/>
      <c r="F3" s="676"/>
      <c r="G3" s="676"/>
    </row>
    <row r="4" spans="1:2" ht="15">
      <c r="A4" s="143"/>
      <c r="B4" s="143"/>
    </row>
    <row r="5" spans="1:7" ht="18">
      <c r="A5" s="677" t="s">
        <v>695</v>
      </c>
      <c r="B5" s="677"/>
      <c r="C5" s="677"/>
      <c r="D5" s="677"/>
      <c r="E5" s="677"/>
      <c r="F5" s="677"/>
      <c r="G5" s="677"/>
    </row>
    <row r="6" spans="1:2" ht="15">
      <c r="A6" s="144" t="s">
        <v>956</v>
      </c>
      <c r="B6" s="144"/>
    </row>
    <row r="7" spans="1:7" ht="15">
      <c r="A7" s="144"/>
      <c r="B7" s="144"/>
      <c r="F7" s="79" t="s">
        <v>959</v>
      </c>
      <c r="G7" s="242"/>
    </row>
    <row r="8" spans="1:7" ht="45">
      <c r="A8" s="145" t="s">
        <v>1</v>
      </c>
      <c r="B8" s="145" t="s">
        <v>2</v>
      </c>
      <c r="C8" s="194" t="s">
        <v>696</v>
      </c>
      <c r="D8" s="194" t="s">
        <v>697</v>
      </c>
      <c r="E8" s="194" t="s">
        <v>698</v>
      </c>
      <c r="F8" s="194" t="s">
        <v>699</v>
      </c>
      <c r="G8" s="184" t="s">
        <v>700</v>
      </c>
    </row>
    <row r="9" spans="1:7" s="518" customFormat="1" ht="15">
      <c r="A9" s="147" t="s">
        <v>269</v>
      </c>
      <c r="B9" s="147" t="s">
        <v>270</v>
      </c>
      <c r="C9" s="147" t="s">
        <v>271</v>
      </c>
      <c r="D9" s="147" t="s">
        <v>272</v>
      </c>
      <c r="E9" s="147" t="s">
        <v>273</v>
      </c>
      <c r="F9" s="147" t="s">
        <v>274</v>
      </c>
      <c r="G9" s="147" t="s">
        <v>275</v>
      </c>
    </row>
    <row r="10" spans="1:7" ht="12.75">
      <c r="A10" s="14">
        <v>1</v>
      </c>
      <c r="B10" s="224" t="s">
        <v>831</v>
      </c>
      <c r="C10" s="15">
        <f>'enrolment vs availed_PY'!G11+'enrolment vs availed_UPY'!G11</f>
        <v>263646</v>
      </c>
      <c r="D10" s="15">
        <v>263646</v>
      </c>
      <c r="E10" s="15">
        <v>0</v>
      </c>
      <c r="F10" s="535">
        <f>C10-D10-E10</f>
        <v>0</v>
      </c>
      <c r="G10" s="535">
        <v>0</v>
      </c>
    </row>
    <row r="11" spans="1:7" ht="12.75">
      <c r="A11" s="14">
        <v>2</v>
      </c>
      <c r="B11" s="224" t="s">
        <v>832</v>
      </c>
      <c r="C11" s="15">
        <f>'enrolment vs availed_PY'!G12+'enrolment vs availed_UPY'!G12</f>
        <v>88160</v>
      </c>
      <c r="D11" s="15">
        <v>79758</v>
      </c>
      <c r="E11" s="15">
        <v>6162</v>
      </c>
      <c r="F11" s="535">
        <f aca="true" t="shared" si="0" ref="F11:F33">C11-D11-E11</f>
        <v>2240</v>
      </c>
      <c r="G11" s="535">
        <v>962</v>
      </c>
    </row>
    <row r="12" spans="1:7" ht="12.75">
      <c r="A12" s="14">
        <v>3</v>
      </c>
      <c r="B12" s="224" t="s">
        <v>833</v>
      </c>
      <c r="C12" s="15">
        <f>'enrolment vs availed_PY'!G13+'enrolment vs availed_UPY'!G13</f>
        <v>74221</v>
      </c>
      <c r="D12" s="15">
        <v>72315</v>
      </c>
      <c r="E12" s="15">
        <v>1313</v>
      </c>
      <c r="F12" s="535">
        <f t="shared" si="0"/>
        <v>593</v>
      </c>
      <c r="G12" s="535">
        <v>0</v>
      </c>
    </row>
    <row r="13" spans="1:7" ht="12.75">
      <c r="A13" s="14">
        <v>4</v>
      </c>
      <c r="B13" s="224" t="s">
        <v>834</v>
      </c>
      <c r="C13" s="15">
        <f>'enrolment vs availed_PY'!G14+'enrolment vs availed_UPY'!G14</f>
        <v>171599</v>
      </c>
      <c r="D13" s="15">
        <v>101477</v>
      </c>
      <c r="E13" s="15">
        <f>C13-D13</f>
        <v>70122</v>
      </c>
      <c r="F13" s="535">
        <f t="shared" si="0"/>
        <v>0</v>
      </c>
      <c r="G13" s="535"/>
    </row>
    <row r="14" spans="1:7" ht="12.75">
      <c r="A14" s="14">
        <v>5</v>
      </c>
      <c r="B14" s="224" t="s">
        <v>835</v>
      </c>
      <c r="C14" s="15">
        <f>'enrolment vs availed_PY'!G15+'enrolment vs availed_UPY'!G15</f>
        <v>105146</v>
      </c>
      <c r="D14" s="15">
        <v>104686</v>
      </c>
      <c r="E14" s="15">
        <v>460</v>
      </c>
      <c r="F14" s="535">
        <f t="shared" si="0"/>
        <v>0</v>
      </c>
      <c r="G14" s="535">
        <v>95</v>
      </c>
    </row>
    <row r="15" spans="1:7" ht="12.75">
      <c r="A15" s="14">
        <v>6</v>
      </c>
      <c r="B15" s="224" t="s">
        <v>836</v>
      </c>
      <c r="C15" s="15">
        <f>'enrolment vs availed_PY'!G16+'enrolment vs availed_UPY'!G16</f>
        <v>184583</v>
      </c>
      <c r="D15" s="15">
        <v>176563</v>
      </c>
      <c r="E15" s="15">
        <v>2049</v>
      </c>
      <c r="F15" s="535">
        <f t="shared" si="0"/>
        <v>5971</v>
      </c>
      <c r="G15" s="535">
        <v>0</v>
      </c>
    </row>
    <row r="16" spans="1:7" ht="12.75">
      <c r="A16" s="14">
        <v>7</v>
      </c>
      <c r="B16" s="224" t="s">
        <v>837</v>
      </c>
      <c r="C16" s="15">
        <f>'enrolment vs availed_PY'!G17+'enrolment vs availed_UPY'!G17</f>
        <v>128572</v>
      </c>
      <c r="D16" s="15">
        <v>122786</v>
      </c>
      <c r="E16" s="15">
        <v>1929</v>
      </c>
      <c r="F16" s="535">
        <f t="shared" si="0"/>
        <v>3857</v>
      </c>
      <c r="G16" s="535">
        <v>12794</v>
      </c>
    </row>
    <row r="17" spans="1:7" ht="12.75">
      <c r="A17" s="14">
        <v>8</v>
      </c>
      <c r="B17" s="224" t="s">
        <v>838</v>
      </c>
      <c r="C17" s="15">
        <f>'enrolment vs availed_PY'!G18+'enrolment vs availed_UPY'!G18</f>
        <v>268415</v>
      </c>
      <c r="D17" s="15">
        <v>234699</v>
      </c>
      <c r="E17" s="15">
        <v>11157</v>
      </c>
      <c r="F17" s="535">
        <f t="shared" si="0"/>
        <v>22559</v>
      </c>
      <c r="G17" s="535">
        <v>0</v>
      </c>
    </row>
    <row r="18" spans="1:7" ht="12.75">
      <c r="A18" s="14">
        <v>9</v>
      </c>
      <c r="B18" s="224" t="s">
        <v>839</v>
      </c>
      <c r="C18" s="15">
        <f>'enrolment vs availed_PY'!G19+'enrolment vs availed_UPY'!G19</f>
        <v>408368</v>
      </c>
      <c r="D18" s="15">
        <v>318515</v>
      </c>
      <c r="E18" s="15">
        <v>10911</v>
      </c>
      <c r="F18" s="535">
        <f t="shared" si="0"/>
        <v>78942</v>
      </c>
      <c r="G18" s="535">
        <v>8179</v>
      </c>
    </row>
    <row r="19" spans="1:7" ht="12.75">
      <c r="A19" s="14">
        <v>10</v>
      </c>
      <c r="B19" s="224" t="s">
        <v>840</v>
      </c>
      <c r="C19" s="15">
        <f>'enrolment vs availed_PY'!G20+'enrolment vs availed_UPY'!G20</f>
        <v>143359</v>
      </c>
      <c r="D19" s="15">
        <v>127407</v>
      </c>
      <c r="E19" s="15">
        <v>11364</v>
      </c>
      <c r="F19" s="535">
        <f t="shared" si="0"/>
        <v>4588</v>
      </c>
      <c r="G19" s="535">
        <v>331</v>
      </c>
    </row>
    <row r="20" spans="1:7" ht="12.75">
      <c r="A20" s="14">
        <v>11</v>
      </c>
      <c r="B20" s="224" t="s">
        <v>841</v>
      </c>
      <c r="C20" s="15">
        <f>'enrolment vs availed_PY'!G21+'enrolment vs availed_UPY'!G21</f>
        <v>240720</v>
      </c>
      <c r="D20" s="15">
        <v>173318</v>
      </c>
      <c r="E20" s="15">
        <v>43811</v>
      </c>
      <c r="F20" s="535">
        <f t="shared" si="0"/>
        <v>23591</v>
      </c>
      <c r="G20" s="535">
        <v>10208</v>
      </c>
    </row>
    <row r="21" spans="1:7" ht="12.75">
      <c r="A21" s="14">
        <v>12</v>
      </c>
      <c r="B21" s="224" t="s">
        <v>842</v>
      </c>
      <c r="C21" s="15">
        <f>'enrolment vs availed_PY'!G22+'enrolment vs availed_UPY'!G22</f>
        <v>204237</v>
      </c>
      <c r="D21" s="15">
        <v>198109</v>
      </c>
      <c r="E21" s="15">
        <v>6128</v>
      </c>
      <c r="F21" s="535">
        <f t="shared" si="0"/>
        <v>0</v>
      </c>
      <c r="G21" s="535">
        <v>0</v>
      </c>
    </row>
    <row r="22" spans="1:7" ht="12.75">
      <c r="A22" s="14">
        <v>13</v>
      </c>
      <c r="B22" s="224" t="s">
        <v>843</v>
      </c>
      <c r="C22" s="15">
        <f>'enrolment vs availed_PY'!G23+'enrolment vs availed_UPY'!G23</f>
        <v>87674</v>
      </c>
      <c r="D22" s="15">
        <v>87222</v>
      </c>
      <c r="E22" s="15">
        <v>452</v>
      </c>
      <c r="F22" s="535">
        <f t="shared" si="0"/>
        <v>0</v>
      </c>
      <c r="G22" s="535">
        <v>0</v>
      </c>
    </row>
    <row r="23" spans="1:7" ht="12.75">
      <c r="A23" s="14">
        <v>14</v>
      </c>
      <c r="B23" s="224" t="s">
        <v>844</v>
      </c>
      <c r="C23" s="15">
        <f>'enrolment vs availed_PY'!G24+'enrolment vs availed_UPY'!G24</f>
        <v>102655</v>
      </c>
      <c r="D23" s="15">
        <v>94674</v>
      </c>
      <c r="E23" s="15">
        <v>652</v>
      </c>
      <c r="F23" s="535">
        <f t="shared" si="0"/>
        <v>7329</v>
      </c>
      <c r="G23" s="535">
        <v>6677</v>
      </c>
    </row>
    <row r="24" spans="1:7" ht="12.75">
      <c r="A24" s="14">
        <v>15</v>
      </c>
      <c r="B24" s="224" t="s">
        <v>845</v>
      </c>
      <c r="C24" s="15">
        <f>'enrolment vs availed_PY'!G25+'enrolment vs availed_UPY'!G25</f>
        <v>202202</v>
      </c>
      <c r="D24" s="15">
        <v>130420</v>
      </c>
      <c r="E24" s="15">
        <v>39429</v>
      </c>
      <c r="F24" s="535">
        <f t="shared" si="0"/>
        <v>32353</v>
      </c>
      <c r="G24" s="535">
        <v>7922</v>
      </c>
    </row>
    <row r="25" spans="1:7" ht="12.75">
      <c r="A25" s="14">
        <v>16</v>
      </c>
      <c r="B25" s="224" t="s">
        <v>846</v>
      </c>
      <c r="C25" s="15">
        <f>'enrolment vs availed_PY'!G26+'enrolment vs availed_UPY'!G26</f>
        <v>408916</v>
      </c>
      <c r="D25" s="15">
        <v>361119</v>
      </c>
      <c r="E25" s="15">
        <v>18771</v>
      </c>
      <c r="F25" s="535">
        <f t="shared" si="0"/>
        <v>29026</v>
      </c>
      <c r="G25" s="535">
        <v>8448</v>
      </c>
    </row>
    <row r="26" spans="1:7" ht="12.75">
      <c r="A26" s="14">
        <v>17</v>
      </c>
      <c r="B26" s="224" t="s">
        <v>847</v>
      </c>
      <c r="C26" s="15">
        <f>'enrolment vs availed_PY'!G27+'enrolment vs availed_UPY'!G27</f>
        <v>235886</v>
      </c>
      <c r="D26" s="15">
        <v>220333</v>
      </c>
      <c r="E26" s="15">
        <v>11082</v>
      </c>
      <c r="F26" s="535">
        <f t="shared" si="0"/>
        <v>4471</v>
      </c>
      <c r="G26" s="535">
        <v>0</v>
      </c>
    </row>
    <row r="27" spans="1:7" ht="12.75">
      <c r="A27" s="14">
        <v>18</v>
      </c>
      <c r="B27" s="224" t="s">
        <v>848</v>
      </c>
      <c r="C27" s="15">
        <f>'enrolment vs availed_PY'!G28+'enrolment vs availed_UPY'!G28</f>
        <v>188425</v>
      </c>
      <c r="D27" s="15">
        <v>177664</v>
      </c>
      <c r="E27" s="15">
        <v>10761</v>
      </c>
      <c r="F27" s="535">
        <f t="shared" si="0"/>
        <v>0</v>
      </c>
      <c r="G27" s="535">
        <v>0</v>
      </c>
    </row>
    <row r="28" spans="1:7" ht="12.75">
      <c r="A28" s="14">
        <v>19</v>
      </c>
      <c r="B28" s="224" t="s">
        <v>849</v>
      </c>
      <c r="C28" s="15">
        <f>'enrolment vs availed_PY'!G29+'enrolment vs availed_UPY'!G29</f>
        <v>208911</v>
      </c>
      <c r="D28" s="15">
        <v>196063</v>
      </c>
      <c r="E28" s="15">
        <v>8163</v>
      </c>
      <c r="F28" s="535">
        <f t="shared" si="0"/>
        <v>4685</v>
      </c>
      <c r="G28" s="535">
        <v>3436</v>
      </c>
    </row>
    <row r="29" spans="1:7" ht="12.75">
      <c r="A29" s="14">
        <v>20</v>
      </c>
      <c r="B29" s="224" t="s">
        <v>850</v>
      </c>
      <c r="C29" s="15">
        <f>'enrolment vs availed_PY'!G30+'enrolment vs availed_UPY'!G30</f>
        <v>122715</v>
      </c>
      <c r="D29" s="15">
        <v>121966</v>
      </c>
      <c r="E29" s="15">
        <v>749</v>
      </c>
      <c r="F29" s="535">
        <f t="shared" si="0"/>
        <v>0</v>
      </c>
      <c r="G29" s="535">
        <v>0</v>
      </c>
    </row>
    <row r="30" spans="1:7" ht="12.75">
      <c r="A30" s="14">
        <v>21</v>
      </c>
      <c r="B30" s="224" t="s">
        <v>851</v>
      </c>
      <c r="C30" s="15">
        <f>'enrolment vs availed_PY'!G31+'enrolment vs availed_UPY'!G31</f>
        <v>206727</v>
      </c>
      <c r="D30" s="536">
        <v>190419</v>
      </c>
      <c r="E30" s="536">
        <v>5011</v>
      </c>
      <c r="F30" s="535">
        <f t="shared" si="0"/>
        <v>11297</v>
      </c>
      <c r="G30" s="536">
        <v>6588</v>
      </c>
    </row>
    <row r="31" spans="1:7" ht="12.75">
      <c r="A31" s="14">
        <v>22</v>
      </c>
      <c r="B31" s="224" t="s">
        <v>852</v>
      </c>
      <c r="C31" s="15">
        <f>'enrolment vs availed_PY'!G32+'enrolment vs availed_UPY'!G32</f>
        <v>144086</v>
      </c>
      <c r="D31" s="15">
        <v>144086</v>
      </c>
      <c r="E31" s="15">
        <v>0</v>
      </c>
      <c r="F31" s="535">
        <f t="shared" si="0"/>
        <v>0</v>
      </c>
      <c r="G31" s="535">
        <v>601</v>
      </c>
    </row>
    <row r="32" spans="1:7" ht="12.75">
      <c r="A32" s="14">
        <v>23</v>
      </c>
      <c r="B32" s="224" t="s">
        <v>853</v>
      </c>
      <c r="C32" s="15">
        <f>'enrolment vs availed_PY'!G33+'enrolment vs availed_UPY'!G33</f>
        <v>221638</v>
      </c>
      <c r="D32" s="15">
        <v>207739</v>
      </c>
      <c r="E32" s="15">
        <v>2315</v>
      </c>
      <c r="F32" s="535">
        <f t="shared" si="0"/>
        <v>11584</v>
      </c>
      <c r="G32" s="535">
        <v>2103</v>
      </c>
    </row>
    <row r="33" spans="1:7" ht="12.75">
      <c r="A33" s="14">
        <v>24</v>
      </c>
      <c r="B33" s="224" t="s">
        <v>854</v>
      </c>
      <c r="C33" s="15">
        <f>'enrolment vs availed_PY'!G34+'enrolment vs availed_UPY'!G34</f>
        <v>262946</v>
      </c>
      <c r="D33" s="15">
        <v>220093</v>
      </c>
      <c r="E33" s="15">
        <v>5437</v>
      </c>
      <c r="F33" s="535">
        <f t="shared" si="0"/>
        <v>37416</v>
      </c>
      <c r="G33" s="535">
        <v>0</v>
      </c>
    </row>
    <row r="34" spans="1:7" s="11" customFormat="1" ht="12.75">
      <c r="A34" s="560" t="s">
        <v>13</v>
      </c>
      <c r="B34" s="561"/>
      <c r="C34" s="23">
        <f>SUM(C10:C33)</f>
        <v>4673807</v>
      </c>
      <c r="D34" s="23">
        <f>SUM(D10:D33)</f>
        <v>4125077</v>
      </c>
      <c r="E34" s="23">
        <f>SUM(E10:E33)</f>
        <v>268228</v>
      </c>
      <c r="F34" s="23">
        <f>SUM(F10:F33)</f>
        <v>280502</v>
      </c>
      <c r="G34" s="23">
        <f>SUM(G10:G33)</f>
        <v>68344</v>
      </c>
    </row>
    <row r="38" spans="1:7" ht="12.75">
      <c r="A38" s="195"/>
      <c r="B38" s="195"/>
      <c r="C38" s="195"/>
      <c r="D38" s="195"/>
      <c r="E38" s="325"/>
      <c r="F38" s="325"/>
      <c r="G38" s="196"/>
    </row>
    <row r="39" spans="1:11" ht="15.75">
      <c r="A39" s="559" t="s">
        <v>989</v>
      </c>
      <c r="B39" s="559"/>
      <c r="C39" s="359"/>
      <c r="D39" s="358" t="s">
        <v>990</v>
      </c>
      <c r="F39" s="559" t="s">
        <v>996</v>
      </c>
      <c r="G39" s="559"/>
      <c r="H39" s="359"/>
      <c r="I39" s="345"/>
      <c r="J39" s="345"/>
      <c r="K39" s="345"/>
    </row>
    <row r="40" spans="1:11" ht="15.75">
      <c r="A40" s="559" t="s">
        <v>991</v>
      </c>
      <c r="B40" s="559"/>
      <c r="C40" s="359"/>
      <c r="D40" s="358" t="s">
        <v>992</v>
      </c>
      <c r="F40" s="559" t="s">
        <v>993</v>
      </c>
      <c r="G40" s="559"/>
      <c r="H40" s="359"/>
      <c r="I40" s="345"/>
      <c r="J40" s="345"/>
      <c r="K40" s="345"/>
    </row>
    <row r="41" spans="1:11" ht="12.75">
      <c r="A41" s="559" t="s">
        <v>994</v>
      </c>
      <c r="B41" s="559"/>
      <c r="C41" s="359"/>
      <c r="D41" s="358" t="s">
        <v>995</v>
      </c>
      <c r="F41" s="559" t="s">
        <v>995</v>
      </c>
      <c r="G41" s="559"/>
      <c r="H41" s="359"/>
      <c r="K41" s="29"/>
    </row>
    <row r="42" spans="1:7" ht="12.75">
      <c r="A42" s="195"/>
      <c r="B42" s="195"/>
      <c r="C42" s="195"/>
      <c r="D42" s="195"/>
      <c r="E42" s="195"/>
      <c r="F42" s="195"/>
      <c r="G42" s="195"/>
    </row>
  </sheetData>
  <sheetProtection/>
  <mergeCells count="10">
    <mergeCell ref="F41:G41"/>
    <mergeCell ref="A39:B39"/>
    <mergeCell ref="A40:B40"/>
    <mergeCell ref="A41:B41"/>
    <mergeCell ref="A2:G2"/>
    <mergeCell ref="A5:G5"/>
    <mergeCell ref="A34:B34"/>
    <mergeCell ref="A3:G3"/>
    <mergeCell ref="F39:G39"/>
    <mergeCell ref="F40:G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8"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N56"/>
  <sheetViews>
    <sheetView view="pageBreakPreview" zoomScale="70" zoomScaleSheetLayoutView="70" zoomScalePageLayoutView="0" workbookViewId="0" topLeftCell="A1">
      <selection activeCell="J11" sqref="J11:J34"/>
    </sheetView>
  </sheetViews>
  <sheetFormatPr defaultColWidth="9.140625" defaultRowHeight="12.75"/>
  <cols>
    <col min="1" max="1" width="7.421875" style="12" customWidth="1"/>
    <col min="2" max="2" width="15.8515625" style="12" bestFit="1" customWidth="1"/>
    <col min="3" max="5" width="15.28125" style="12" customWidth="1"/>
    <col min="6" max="6" width="15.8515625" style="12" customWidth="1"/>
    <col min="7" max="7" width="15.421875" style="12" customWidth="1"/>
    <col min="8" max="10" width="15.28125" style="12" customWidth="1"/>
    <col min="11" max="16384" width="9.140625" style="12" customWidth="1"/>
  </cols>
  <sheetData>
    <row r="1" spans="5:10" ht="12.75">
      <c r="E1" s="594"/>
      <c r="F1" s="594"/>
      <c r="G1" s="594"/>
      <c r="H1" s="594"/>
      <c r="I1" s="594"/>
      <c r="J1" s="104" t="s">
        <v>56</v>
      </c>
    </row>
    <row r="2" spans="1:10" ht="15">
      <c r="A2" s="684" t="s">
        <v>0</v>
      </c>
      <c r="B2" s="684"/>
      <c r="C2" s="684"/>
      <c r="D2" s="684"/>
      <c r="E2" s="684"/>
      <c r="F2" s="684"/>
      <c r="G2" s="684"/>
      <c r="H2" s="684"/>
      <c r="I2" s="684"/>
      <c r="J2" s="684"/>
    </row>
    <row r="3" spans="1:10" ht="20.25">
      <c r="A3" s="591" t="s">
        <v>645</v>
      </c>
      <c r="B3" s="591"/>
      <c r="C3" s="591"/>
      <c r="D3" s="591"/>
      <c r="E3" s="591"/>
      <c r="F3" s="591"/>
      <c r="G3" s="591"/>
      <c r="H3" s="591"/>
      <c r="I3" s="591"/>
      <c r="J3" s="591"/>
    </row>
    <row r="5" spans="1:10" ht="15.75">
      <c r="A5" s="691" t="s">
        <v>659</v>
      </c>
      <c r="B5" s="691"/>
      <c r="C5" s="691"/>
      <c r="D5" s="691"/>
      <c r="E5" s="691"/>
      <c r="F5" s="691"/>
      <c r="G5" s="691"/>
      <c r="H5" s="691"/>
      <c r="I5" s="691"/>
      <c r="J5" s="691"/>
    </row>
    <row r="6" spans="1:10" ht="12.75">
      <c r="A6" s="1"/>
      <c r="B6" s="1"/>
      <c r="C6" s="1"/>
      <c r="D6" s="1"/>
      <c r="E6" s="1"/>
      <c r="F6" s="1"/>
      <c r="G6" s="1"/>
      <c r="H6" s="1"/>
      <c r="I6" s="1"/>
      <c r="J6" s="1"/>
    </row>
    <row r="7" spans="1:10" ht="12.75">
      <c r="A7" s="593" t="s">
        <v>956</v>
      </c>
      <c r="B7" s="593"/>
      <c r="C7" s="25"/>
      <c r="H7" s="689" t="s">
        <v>959</v>
      </c>
      <c r="I7" s="689"/>
      <c r="J7" s="689"/>
    </row>
    <row r="8" spans="1:14" ht="12.75">
      <c r="A8" s="573" t="s">
        <v>1</v>
      </c>
      <c r="B8" s="573" t="s">
        <v>2</v>
      </c>
      <c r="C8" s="572" t="s">
        <v>660</v>
      </c>
      <c r="D8" s="572"/>
      <c r="E8" s="572"/>
      <c r="F8" s="572"/>
      <c r="G8" s="572" t="s">
        <v>96</v>
      </c>
      <c r="H8" s="572"/>
      <c r="I8" s="572"/>
      <c r="J8" s="572"/>
      <c r="M8" s="15"/>
      <c r="N8" s="17"/>
    </row>
    <row r="9" spans="1:10" ht="51">
      <c r="A9" s="573"/>
      <c r="B9" s="573"/>
      <c r="C9" s="5" t="s">
        <v>181</v>
      </c>
      <c r="D9" s="5" t="s">
        <v>11</v>
      </c>
      <c r="E9" s="225" t="s">
        <v>661</v>
      </c>
      <c r="F9" s="5" t="s">
        <v>199</v>
      </c>
      <c r="G9" s="5" t="s">
        <v>181</v>
      </c>
      <c r="H9" s="22" t="s">
        <v>12</v>
      </c>
      <c r="I9" s="22" t="s">
        <v>106</v>
      </c>
      <c r="J9" s="5" t="s">
        <v>200</v>
      </c>
    </row>
    <row r="10" spans="1:10" ht="12.75">
      <c r="A10" s="5">
        <v>1</v>
      </c>
      <c r="B10" s="5">
        <v>2</v>
      </c>
      <c r="C10" s="5">
        <v>3</v>
      </c>
      <c r="D10" s="5">
        <v>4</v>
      </c>
      <c r="E10" s="5">
        <v>5</v>
      </c>
      <c r="F10" s="5">
        <v>6</v>
      </c>
      <c r="G10" s="5">
        <v>7</v>
      </c>
      <c r="H10" s="5">
        <v>8</v>
      </c>
      <c r="I10" s="5">
        <v>9</v>
      </c>
      <c r="J10" s="5">
        <v>10</v>
      </c>
    </row>
    <row r="11" spans="1:10" ht="12.75">
      <c r="A11" s="14">
        <v>1</v>
      </c>
      <c r="B11" s="224" t="s">
        <v>831</v>
      </c>
      <c r="C11" s="15">
        <v>1582</v>
      </c>
      <c r="D11" s="512">
        <v>133756</v>
      </c>
      <c r="E11" s="15">
        <v>254</v>
      </c>
      <c r="F11" s="15">
        <f>D11*E11</f>
        <v>33974024</v>
      </c>
      <c r="G11" s="512">
        <f>'AT3A_cvrg(Insti)_PY'!L11</f>
        <v>1575</v>
      </c>
      <c r="H11" s="512">
        <f>'enrolment vs availed_PY'!Q11</f>
        <v>31891537</v>
      </c>
      <c r="I11" s="512">
        <v>246</v>
      </c>
      <c r="J11" s="512">
        <f>H11/I11</f>
        <v>129640.39430894308</v>
      </c>
    </row>
    <row r="12" spans="1:10" ht="12.75">
      <c r="A12" s="14">
        <v>2</v>
      </c>
      <c r="B12" s="224" t="s">
        <v>832</v>
      </c>
      <c r="C12" s="15">
        <v>678</v>
      </c>
      <c r="D12" s="512">
        <v>45713</v>
      </c>
      <c r="E12" s="15">
        <v>254</v>
      </c>
      <c r="F12" s="15">
        <f aca="true" t="shared" si="0" ref="F12:F35">D12*E12</f>
        <v>11611102</v>
      </c>
      <c r="G12" s="512">
        <f>'AT3A_cvrg(Insti)_PY'!L12</f>
        <v>659</v>
      </c>
      <c r="H12" s="512">
        <f>'enrolment vs availed_PY'!Q12</f>
        <v>11594210</v>
      </c>
      <c r="I12" s="512">
        <v>246</v>
      </c>
      <c r="J12" s="512">
        <f aca="true" t="shared" si="1" ref="J12:J34">H12/I12</f>
        <v>47130.93495934959</v>
      </c>
    </row>
    <row r="13" spans="1:10" ht="12.75">
      <c r="A13" s="14">
        <v>3</v>
      </c>
      <c r="B13" s="224" t="s">
        <v>833</v>
      </c>
      <c r="C13" s="15">
        <v>368</v>
      </c>
      <c r="D13" s="512">
        <v>33042</v>
      </c>
      <c r="E13" s="15">
        <v>254</v>
      </c>
      <c r="F13" s="15">
        <f t="shared" si="0"/>
        <v>8392668</v>
      </c>
      <c r="G13" s="512">
        <f>'AT3A_cvrg(Insti)_PY'!L13</f>
        <v>362</v>
      </c>
      <c r="H13" s="512">
        <f>'enrolment vs availed_PY'!Q13</f>
        <v>8591281</v>
      </c>
      <c r="I13" s="512">
        <v>246</v>
      </c>
      <c r="J13" s="512">
        <f t="shared" si="1"/>
        <v>34923.90650406504</v>
      </c>
    </row>
    <row r="14" spans="1:10" ht="12.75">
      <c r="A14" s="14">
        <v>4</v>
      </c>
      <c r="B14" s="224" t="s">
        <v>834</v>
      </c>
      <c r="C14" s="15">
        <v>1245</v>
      </c>
      <c r="D14" s="512">
        <v>97781</v>
      </c>
      <c r="E14" s="15">
        <v>254</v>
      </c>
      <c r="F14" s="15">
        <f t="shared" si="0"/>
        <v>24836374</v>
      </c>
      <c r="G14" s="512">
        <f>'AT3A_cvrg(Insti)_PY'!L14</f>
        <v>1090</v>
      </c>
      <c r="H14" s="512">
        <f>'enrolment vs availed_PY'!Q14</f>
        <v>24430210</v>
      </c>
      <c r="I14" s="512">
        <v>246</v>
      </c>
      <c r="J14" s="512">
        <f t="shared" si="1"/>
        <v>99309.79674796748</v>
      </c>
    </row>
    <row r="15" spans="1:10" ht="12.75">
      <c r="A15" s="14">
        <v>5</v>
      </c>
      <c r="B15" s="224" t="s">
        <v>835</v>
      </c>
      <c r="C15" s="15">
        <v>666</v>
      </c>
      <c r="D15" s="512">
        <v>48894</v>
      </c>
      <c r="E15" s="15">
        <v>254</v>
      </c>
      <c r="F15" s="15">
        <f t="shared" si="0"/>
        <v>12419076</v>
      </c>
      <c r="G15" s="512">
        <f>'AT3A_cvrg(Insti)_PY'!L15</f>
        <v>661</v>
      </c>
      <c r="H15" s="512">
        <f>'enrolment vs availed_PY'!Q15</f>
        <v>12781541</v>
      </c>
      <c r="I15" s="512">
        <v>246</v>
      </c>
      <c r="J15" s="512">
        <f t="shared" si="1"/>
        <v>51957.4837398374</v>
      </c>
    </row>
    <row r="16" spans="1:10" ht="12.75">
      <c r="A16" s="14">
        <v>6</v>
      </c>
      <c r="B16" s="224" t="s">
        <v>836</v>
      </c>
      <c r="C16" s="15">
        <v>1310</v>
      </c>
      <c r="D16" s="512">
        <v>82317</v>
      </c>
      <c r="E16" s="15">
        <v>254</v>
      </c>
      <c r="F16" s="15">
        <f t="shared" si="0"/>
        <v>20908518</v>
      </c>
      <c r="G16" s="512">
        <f>'AT3A_cvrg(Insti)_PY'!L16</f>
        <v>1271</v>
      </c>
      <c r="H16" s="512">
        <f>'enrolment vs availed_PY'!Q16</f>
        <v>21429694</v>
      </c>
      <c r="I16" s="512">
        <v>246</v>
      </c>
      <c r="J16" s="512">
        <f t="shared" si="1"/>
        <v>87112.57723577236</v>
      </c>
    </row>
    <row r="17" spans="1:10" ht="12.75">
      <c r="A17" s="14">
        <v>7</v>
      </c>
      <c r="B17" s="224" t="s">
        <v>837</v>
      </c>
      <c r="C17" s="15">
        <v>1043</v>
      </c>
      <c r="D17" s="512">
        <v>55920</v>
      </c>
      <c r="E17" s="15">
        <v>254</v>
      </c>
      <c r="F17" s="15">
        <f t="shared" si="0"/>
        <v>14203680</v>
      </c>
      <c r="G17" s="512">
        <f>'AT3A_cvrg(Insti)_PY'!L17</f>
        <v>1048</v>
      </c>
      <c r="H17" s="512">
        <f>'enrolment vs availed_PY'!Q17</f>
        <v>14920153</v>
      </c>
      <c r="I17" s="512">
        <v>246</v>
      </c>
      <c r="J17" s="512">
        <f t="shared" si="1"/>
        <v>60651.028455284555</v>
      </c>
    </row>
    <row r="18" spans="1:10" ht="12.75">
      <c r="A18" s="14">
        <v>8</v>
      </c>
      <c r="B18" s="224" t="s">
        <v>838</v>
      </c>
      <c r="C18" s="15">
        <v>1547</v>
      </c>
      <c r="D18" s="512">
        <v>130849</v>
      </c>
      <c r="E18" s="15">
        <v>254</v>
      </c>
      <c r="F18" s="15">
        <f t="shared" si="0"/>
        <v>33235646</v>
      </c>
      <c r="G18" s="512">
        <f>'AT3A_cvrg(Insti)_PY'!L18</f>
        <v>1547</v>
      </c>
      <c r="H18" s="512">
        <f>'enrolment vs availed_PY'!Q18</f>
        <v>31022132</v>
      </c>
      <c r="I18" s="512">
        <v>246</v>
      </c>
      <c r="J18" s="512">
        <f t="shared" si="1"/>
        <v>126106.22764227643</v>
      </c>
    </row>
    <row r="19" spans="1:10" ht="12.75">
      <c r="A19" s="14">
        <v>9</v>
      </c>
      <c r="B19" s="224" t="s">
        <v>839</v>
      </c>
      <c r="C19" s="15">
        <v>1275</v>
      </c>
      <c r="D19" s="512">
        <v>169222</v>
      </c>
      <c r="E19" s="15">
        <v>254</v>
      </c>
      <c r="F19" s="15">
        <f t="shared" si="0"/>
        <v>42982388</v>
      </c>
      <c r="G19" s="512">
        <f>'AT3A_cvrg(Insti)_PY'!L19</f>
        <v>1275</v>
      </c>
      <c r="H19" s="512">
        <f>'enrolment vs availed_PY'!Q19</f>
        <v>46677487</v>
      </c>
      <c r="I19" s="512">
        <v>246</v>
      </c>
      <c r="J19" s="512">
        <f t="shared" si="1"/>
        <v>189745.88211382114</v>
      </c>
    </row>
    <row r="20" spans="1:10" ht="12.75">
      <c r="A20" s="14">
        <v>10</v>
      </c>
      <c r="B20" s="224" t="s">
        <v>840</v>
      </c>
      <c r="C20" s="15">
        <v>840</v>
      </c>
      <c r="D20" s="512">
        <v>56722</v>
      </c>
      <c r="E20" s="15">
        <v>254</v>
      </c>
      <c r="F20" s="15">
        <f t="shared" si="0"/>
        <v>14407388</v>
      </c>
      <c r="G20" s="512">
        <f>'AT3A_cvrg(Insti)_PY'!L20</f>
        <v>743</v>
      </c>
      <c r="H20" s="512">
        <f>'enrolment vs availed_PY'!Q20</f>
        <v>15538166</v>
      </c>
      <c r="I20" s="512">
        <v>246</v>
      </c>
      <c r="J20" s="512">
        <f t="shared" si="1"/>
        <v>63163.276422764226</v>
      </c>
    </row>
    <row r="21" spans="1:10" ht="12.75">
      <c r="A21" s="14">
        <v>11</v>
      </c>
      <c r="B21" s="224" t="s">
        <v>841</v>
      </c>
      <c r="C21" s="15">
        <v>1098</v>
      </c>
      <c r="D21" s="512">
        <v>83122</v>
      </c>
      <c r="E21" s="15">
        <v>254</v>
      </c>
      <c r="F21" s="15">
        <f t="shared" si="0"/>
        <v>21112988</v>
      </c>
      <c r="G21" s="512">
        <f>'AT3A_cvrg(Insti)_PY'!L21</f>
        <v>1025</v>
      </c>
      <c r="H21" s="512">
        <f>'enrolment vs availed_PY'!Q21</f>
        <v>24248389</v>
      </c>
      <c r="I21" s="512">
        <v>246</v>
      </c>
      <c r="J21" s="512">
        <f t="shared" si="1"/>
        <v>98570.68699186992</v>
      </c>
    </row>
    <row r="22" spans="1:10" ht="12.75">
      <c r="A22" s="14">
        <v>12</v>
      </c>
      <c r="B22" s="224" t="s">
        <v>842</v>
      </c>
      <c r="C22" s="15">
        <v>1008</v>
      </c>
      <c r="D22" s="512">
        <v>95634</v>
      </c>
      <c r="E22" s="15">
        <v>254</v>
      </c>
      <c r="F22" s="15">
        <f t="shared" si="0"/>
        <v>24291036</v>
      </c>
      <c r="G22" s="512">
        <f>'AT3A_cvrg(Insti)_PY'!L22</f>
        <v>1007</v>
      </c>
      <c r="H22" s="512">
        <f>'enrolment vs availed_PY'!Q22</f>
        <v>24388028</v>
      </c>
      <c r="I22" s="512">
        <v>246</v>
      </c>
      <c r="J22" s="512">
        <f t="shared" si="1"/>
        <v>99138.32520325204</v>
      </c>
    </row>
    <row r="23" spans="1:10" ht="12.75">
      <c r="A23" s="14">
        <v>13</v>
      </c>
      <c r="B23" s="224" t="s">
        <v>843</v>
      </c>
      <c r="C23" s="15">
        <v>443</v>
      </c>
      <c r="D23" s="512">
        <v>39564</v>
      </c>
      <c r="E23" s="15">
        <v>254</v>
      </c>
      <c r="F23" s="15">
        <f t="shared" si="0"/>
        <v>10049256</v>
      </c>
      <c r="G23" s="512">
        <f>'AT3A_cvrg(Insti)_PY'!L23</f>
        <v>443</v>
      </c>
      <c r="H23" s="512">
        <f>'enrolment vs availed_PY'!Q23</f>
        <v>10464099</v>
      </c>
      <c r="I23" s="512">
        <v>246</v>
      </c>
      <c r="J23" s="512">
        <f t="shared" si="1"/>
        <v>42536.98780487805</v>
      </c>
    </row>
    <row r="24" spans="1:10" ht="12.75">
      <c r="A24" s="14">
        <v>14</v>
      </c>
      <c r="B24" s="224" t="s">
        <v>844</v>
      </c>
      <c r="C24" s="15">
        <v>407</v>
      </c>
      <c r="D24" s="512">
        <v>48412</v>
      </c>
      <c r="E24" s="15">
        <v>254</v>
      </c>
      <c r="F24" s="15">
        <f t="shared" si="0"/>
        <v>12296648</v>
      </c>
      <c r="G24" s="512">
        <f>'AT3A_cvrg(Insti)_PY'!L24</f>
        <v>406</v>
      </c>
      <c r="H24" s="512">
        <f>'enrolment vs availed_PY'!Q24</f>
        <v>12034647</v>
      </c>
      <c r="I24" s="512">
        <v>246</v>
      </c>
      <c r="J24" s="512">
        <f t="shared" si="1"/>
        <v>48921.329268292684</v>
      </c>
    </row>
    <row r="25" spans="1:10" ht="12.75">
      <c r="A25" s="14">
        <v>15</v>
      </c>
      <c r="B25" s="224" t="s">
        <v>845</v>
      </c>
      <c r="C25" s="15">
        <v>1083</v>
      </c>
      <c r="D25" s="512">
        <v>95714</v>
      </c>
      <c r="E25" s="15">
        <v>254</v>
      </c>
      <c r="F25" s="15">
        <f t="shared" si="0"/>
        <v>24311356</v>
      </c>
      <c r="G25" s="512">
        <f>'AT3A_cvrg(Insti)_PY'!L25</f>
        <v>1083</v>
      </c>
      <c r="H25" s="512">
        <f>'enrolment vs availed_PY'!Q25</f>
        <v>24294953</v>
      </c>
      <c r="I25" s="512">
        <v>246</v>
      </c>
      <c r="J25" s="512">
        <f t="shared" si="1"/>
        <v>98759.97154471544</v>
      </c>
    </row>
    <row r="26" spans="1:10" ht="12.75">
      <c r="A26" s="14">
        <v>16</v>
      </c>
      <c r="B26" s="224" t="s">
        <v>846</v>
      </c>
      <c r="C26" s="15">
        <v>2067</v>
      </c>
      <c r="D26" s="512">
        <v>163278</v>
      </c>
      <c r="E26" s="15">
        <v>254</v>
      </c>
      <c r="F26" s="15">
        <f t="shared" si="0"/>
        <v>41472612</v>
      </c>
      <c r="G26" s="512">
        <f>'AT3A_cvrg(Insti)_PY'!L26</f>
        <v>2066</v>
      </c>
      <c r="H26" s="512">
        <f>'enrolment vs availed_PY'!Q26</f>
        <v>42198428</v>
      </c>
      <c r="I26" s="512">
        <v>246</v>
      </c>
      <c r="J26" s="512">
        <f t="shared" si="1"/>
        <v>171538.32520325202</v>
      </c>
    </row>
    <row r="27" spans="1:10" ht="12.75">
      <c r="A27" s="14">
        <v>17</v>
      </c>
      <c r="B27" s="224" t="s">
        <v>847</v>
      </c>
      <c r="C27" s="15">
        <v>1219</v>
      </c>
      <c r="D27" s="512">
        <v>102888</v>
      </c>
      <c r="E27" s="15">
        <v>254</v>
      </c>
      <c r="F27" s="15">
        <f t="shared" si="0"/>
        <v>26133552</v>
      </c>
      <c r="G27" s="512">
        <f>'AT3A_cvrg(Insti)_PY'!L27</f>
        <v>1218</v>
      </c>
      <c r="H27" s="512">
        <f>'enrolment vs availed_PY'!Q27</f>
        <v>25440058</v>
      </c>
      <c r="I27" s="512">
        <v>246</v>
      </c>
      <c r="J27" s="512">
        <f t="shared" si="1"/>
        <v>103414.86991869919</v>
      </c>
    </row>
    <row r="28" spans="1:10" ht="12.75">
      <c r="A28" s="14">
        <v>18</v>
      </c>
      <c r="B28" s="224" t="s">
        <v>848</v>
      </c>
      <c r="C28" s="15">
        <v>1172</v>
      </c>
      <c r="D28" s="512">
        <v>81728</v>
      </c>
      <c r="E28" s="15">
        <v>254</v>
      </c>
      <c r="F28" s="15">
        <f t="shared" si="0"/>
        <v>20758912</v>
      </c>
      <c r="G28" s="512">
        <f>'AT3A_cvrg(Insti)_PY'!L28</f>
        <v>1171</v>
      </c>
      <c r="H28" s="512">
        <f>'enrolment vs availed_PY'!Q28</f>
        <v>21267281</v>
      </c>
      <c r="I28" s="512">
        <v>246</v>
      </c>
      <c r="J28" s="512">
        <f t="shared" si="1"/>
        <v>86452.36178861788</v>
      </c>
    </row>
    <row r="29" spans="1:10" ht="12.75">
      <c r="A29" s="14">
        <v>19</v>
      </c>
      <c r="B29" s="224" t="s">
        <v>849</v>
      </c>
      <c r="C29" s="15">
        <v>1680</v>
      </c>
      <c r="D29" s="512">
        <v>84675</v>
      </c>
      <c r="E29" s="15">
        <v>254</v>
      </c>
      <c r="F29" s="15">
        <f t="shared" si="0"/>
        <v>21507450</v>
      </c>
      <c r="G29" s="512">
        <f>'AT3A_cvrg(Insti)_PY'!L29</f>
        <v>1676</v>
      </c>
      <c r="H29" s="512">
        <f>'enrolment vs availed_PY'!Q29</f>
        <v>22810009</v>
      </c>
      <c r="I29" s="512">
        <v>246</v>
      </c>
      <c r="J29" s="512">
        <f t="shared" si="1"/>
        <v>92723.6138211382</v>
      </c>
    </row>
    <row r="30" spans="1:10" ht="12.75">
      <c r="A30" s="14">
        <v>20</v>
      </c>
      <c r="B30" s="224" t="s">
        <v>850</v>
      </c>
      <c r="C30" s="15">
        <v>719</v>
      </c>
      <c r="D30" s="512">
        <v>57840</v>
      </c>
      <c r="E30" s="15">
        <v>254</v>
      </c>
      <c r="F30" s="15">
        <f t="shared" si="0"/>
        <v>14691360</v>
      </c>
      <c r="G30" s="512">
        <f>'AT3A_cvrg(Insti)_PY'!L30</f>
        <v>718</v>
      </c>
      <c r="H30" s="512">
        <f>'enrolment vs availed_PY'!Q30</f>
        <v>13837073</v>
      </c>
      <c r="I30" s="512">
        <v>246</v>
      </c>
      <c r="J30" s="512">
        <f t="shared" si="1"/>
        <v>56248.26422764228</v>
      </c>
    </row>
    <row r="31" spans="1:10" ht="12.75">
      <c r="A31" s="14">
        <v>21</v>
      </c>
      <c r="B31" s="224" t="s">
        <v>851</v>
      </c>
      <c r="C31" s="15">
        <v>1002</v>
      </c>
      <c r="D31" s="512">
        <v>92069</v>
      </c>
      <c r="E31" s="15">
        <v>254</v>
      </c>
      <c r="F31" s="15">
        <f t="shared" si="0"/>
        <v>23385526</v>
      </c>
      <c r="G31" s="512">
        <f>'AT3A_cvrg(Insti)_PY'!L31</f>
        <v>896</v>
      </c>
      <c r="H31" s="512">
        <f>'enrolment vs availed_PY'!Q31</f>
        <v>23813760</v>
      </c>
      <c r="I31" s="512">
        <v>246</v>
      </c>
      <c r="J31" s="512">
        <f t="shared" si="1"/>
        <v>96803.90243902439</v>
      </c>
    </row>
    <row r="32" spans="1:10" ht="12.75">
      <c r="A32" s="14">
        <v>22</v>
      </c>
      <c r="B32" s="224" t="s">
        <v>852</v>
      </c>
      <c r="C32" s="15">
        <v>674</v>
      </c>
      <c r="D32" s="512">
        <v>70317</v>
      </c>
      <c r="E32" s="15">
        <v>254</v>
      </c>
      <c r="F32" s="15">
        <f t="shared" si="0"/>
        <v>17860518</v>
      </c>
      <c r="G32" s="512">
        <f>'AT3A_cvrg(Insti)_PY'!L32</f>
        <v>674</v>
      </c>
      <c r="H32" s="512">
        <f>'enrolment vs availed_PY'!Q32</f>
        <v>16788180</v>
      </c>
      <c r="I32" s="512">
        <v>246</v>
      </c>
      <c r="J32" s="512">
        <f t="shared" si="1"/>
        <v>68244.63414634146</v>
      </c>
    </row>
    <row r="33" spans="1:10" ht="12.75">
      <c r="A33" s="14">
        <v>23</v>
      </c>
      <c r="B33" s="224" t="s">
        <v>853</v>
      </c>
      <c r="C33" s="15">
        <v>1050</v>
      </c>
      <c r="D33" s="512">
        <v>99515</v>
      </c>
      <c r="E33" s="15">
        <v>254</v>
      </c>
      <c r="F33" s="15">
        <f t="shared" si="0"/>
        <v>25276810</v>
      </c>
      <c r="G33" s="512">
        <f>'AT3A_cvrg(Insti)_PY'!L33</f>
        <v>1053</v>
      </c>
      <c r="H33" s="512">
        <f>'enrolment vs availed_PY'!Q33</f>
        <v>26578462</v>
      </c>
      <c r="I33" s="512">
        <v>246</v>
      </c>
      <c r="J33" s="512">
        <f t="shared" si="1"/>
        <v>108042.52845528456</v>
      </c>
    </row>
    <row r="34" spans="1:10" ht="12.75">
      <c r="A34" s="14">
        <v>24</v>
      </c>
      <c r="B34" s="224" t="s">
        <v>854</v>
      </c>
      <c r="C34" s="15">
        <v>1430</v>
      </c>
      <c r="D34" s="512">
        <v>94707</v>
      </c>
      <c r="E34" s="15">
        <v>254</v>
      </c>
      <c r="F34" s="15">
        <f t="shared" si="0"/>
        <v>24055578</v>
      </c>
      <c r="G34" s="512">
        <f>'AT3A_cvrg(Insti)_PY'!L34</f>
        <v>1435</v>
      </c>
      <c r="H34" s="512">
        <f>'enrolment vs availed_PY'!Q34</f>
        <v>24874771</v>
      </c>
      <c r="I34" s="512">
        <v>246</v>
      </c>
      <c r="J34" s="512">
        <f t="shared" si="1"/>
        <v>101116.95528455285</v>
      </c>
    </row>
    <row r="35" spans="1:10" s="11" customFormat="1" ht="12.75">
      <c r="A35" s="560" t="s">
        <v>13</v>
      </c>
      <c r="B35" s="561"/>
      <c r="C35" s="23">
        <f>SUM(C11:C34)</f>
        <v>25606</v>
      </c>
      <c r="D35" s="226">
        <f>SUM(D11:D34)</f>
        <v>2063679</v>
      </c>
      <c r="E35" s="15">
        <v>254</v>
      </c>
      <c r="F35" s="23">
        <f t="shared" si="0"/>
        <v>524174466</v>
      </c>
      <c r="G35" s="226">
        <f>SUM(G11:G34)</f>
        <v>25102</v>
      </c>
      <c r="H35" s="226">
        <f>SUM(H11:H34)</f>
        <v>531914549</v>
      </c>
      <c r="I35" s="226"/>
      <c r="J35" s="226">
        <f>SUM(J11:J34)</f>
        <v>2162254.2642276417</v>
      </c>
    </row>
    <row r="36" spans="1:10" ht="12.75">
      <c r="A36" s="9"/>
      <c r="B36" s="24"/>
      <c r="C36" s="24"/>
      <c r="D36" s="17"/>
      <c r="E36" s="17"/>
      <c r="F36" s="17"/>
      <c r="G36" s="17"/>
      <c r="H36" s="17"/>
      <c r="I36" s="17"/>
      <c r="J36" s="17"/>
    </row>
    <row r="37" spans="1:10" ht="12.75">
      <c r="A37" s="9"/>
      <c r="B37" s="24"/>
      <c r="C37" s="24"/>
      <c r="D37" s="256"/>
      <c r="E37" s="17"/>
      <c r="F37" s="17"/>
      <c r="G37" s="17"/>
      <c r="H37" s="17"/>
      <c r="I37" s="17"/>
      <c r="J37" s="256"/>
    </row>
    <row r="38" spans="1:10" ht="12.75">
      <c r="A38" s="9"/>
      <c r="B38" s="24"/>
      <c r="C38" s="24"/>
      <c r="D38" s="17"/>
      <c r="E38" s="17"/>
      <c r="F38" s="256"/>
      <c r="G38" s="17"/>
      <c r="H38" s="17"/>
      <c r="I38" s="17"/>
      <c r="J38" s="17"/>
    </row>
    <row r="39" spans="1:10" ht="12.75">
      <c r="A39" s="11"/>
      <c r="B39" s="11"/>
      <c r="C39" s="11"/>
      <c r="D39" s="11"/>
      <c r="E39" s="11"/>
      <c r="F39" s="11"/>
      <c r="G39" s="11"/>
      <c r="I39" s="68"/>
      <c r="J39" s="68"/>
    </row>
    <row r="40" spans="1:11" ht="15.75">
      <c r="A40" s="559" t="s">
        <v>989</v>
      </c>
      <c r="B40" s="559"/>
      <c r="C40" s="559"/>
      <c r="E40" s="559" t="s">
        <v>990</v>
      </c>
      <c r="F40" s="559"/>
      <c r="G40" s="359"/>
      <c r="H40" s="559" t="s">
        <v>996</v>
      </c>
      <c r="I40" s="559"/>
      <c r="J40" s="559"/>
      <c r="K40" s="345"/>
    </row>
    <row r="41" spans="1:11" ht="15.75">
      <c r="A41" s="559" t="s">
        <v>991</v>
      </c>
      <c r="B41" s="559"/>
      <c r="C41" s="559"/>
      <c r="E41" s="559" t="s">
        <v>992</v>
      </c>
      <c r="F41" s="559"/>
      <c r="G41" s="359"/>
      <c r="H41" s="559" t="s">
        <v>993</v>
      </c>
      <c r="I41" s="559"/>
      <c r="J41" s="559"/>
      <c r="K41" s="345"/>
    </row>
    <row r="42" spans="1:11" ht="12.75">
      <c r="A42" s="559" t="s">
        <v>994</v>
      </c>
      <c r="B42" s="559"/>
      <c r="C42" s="559"/>
      <c r="E42" s="559" t="s">
        <v>995</v>
      </c>
      <c r="F42" s="559"/>
      <c r="G42" s="359"/>
      <c r="H42" s="559" t="s">
        <v>995</v>
      </c>
      <c r="I42" s="559"/>
      <c r="J42" s="559"/>
      <c r="K42" s="29"/>
    </row>
    <row r="46" spans="1:10" ht="12.75">
      <c r="A46" s="694"/>
      <c r="B46" s="694"/>
      <c r="C46" s="694"/>
      <c r="D46" s="694"/>
      <c r="E46" s="694"/>
      <c r="F46" s="694"/>
      <c r="G46" s="694"/>
      <c r="H46" s="694"/>
      <c r="I46" s="694"/>
      <c r="J46" s="694"/>
    </row>
    <row r="48" spans="1:10" ht="12.75">
      <c r="A48" s="694"/>
      <c r="B48" s="694"/>
      <c r="C48" s="694"/>
      <c r="D48" s="694"/>
      <c r="E48" s="694"/>
      <c r="F48" s="694"/>
      <c r="G48" s="694"/>
      <c r="H48" s="694"/>
      <c r="I48" s="694"/>
      <c r="J48" s="694"/>
    </row>
    <row r="49" ht="12.75">
      <c r="I49" s="258">
        <f>J35+'T5A_PLAN_vs_PRFM '!J35+'T5B_PLAN_vs_PRFM  (2)'!J35</f>
        <v>3074331.61827692</v>
      </c>
    </row>
    <row r="50" spans="9:10" ht="12.75">
      <c r="I50" s="12">
        <f>'AT27_Req_FG_CA_Pry'!G35+'AT27A_Req_FG_CA_U Pry '!G34+'AT27B_Req_FG_CA_N CLP'!C34</f>
        <v>3417559</v>
      </c>
      <c r="J50" s="258">
        <f>I50-I49</f>
        <v>343227.38172307983</v>
      </c>
    </row>
    <row r="51" spans="9:10" ht="12.75">
      <c r="I51" s="12">
        <f>I49/I50*100</f>
        <v>89.95694348735223</v>
      </c>
      <c r="J51" s="12">
        <f>J50/I50*100</f>
        <v>10.043056512647764</v>
      </c>
    </row>
    <row r="56" ht="12.75">
      <c r="K56" s="12">
        <f>J50/I49*100</f>
        <v>11.164292741960267</v>
      </c>
    </row>
  </sheetData>
  <sheetProtection/>
  <mergeCells count="22">
    <mergeCell ref="A42:C42"/>
    <mergeCell ref="A5:J5"/>
    <mergeCell ref="A8:A9"/>
    <mergeCell ref="B8:B9"/>
    <mergeCell ref="A7:B7"/>
    <mergeCell ref="A35:B35"/>
    <mergeCell ref="A48:J48"/>
    <mergeCell ref="A46:J46"/>
    <mergeCell ref="A40:C40"/>
    <mergeCell ref="H40:J40"/>
    <mergeCell ref="A41:C41"/>
    <mergeCell ref="H42:J42"/>
    <mergeCell ref="E40:F40"/>
    <mergeCell ref="E41:F41"/>
    <mergeCell ref="E42:F42"/>
    <mergeCell ref="H41:J41"/>
    <mergeCell ref="E1:I1"/>
    <mergeCell ref="A2:J2"/>
    <mergeCell ref="A3:J3"/>
    <mergeCell ref="G8:J8"/>
    <mergeCell ref="C8:F8"/>
    <mergeCell ref="H7:J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1"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N48"/>
  <sheetViews>
    <sheetView view="pageBreakPreview" zoomScale="70" zoomScaleSheetLayoutView="70" zoomScalePageLayoutView="0" workbookViewId="0" topLeftCell="A1">
      <selection activeCell="J11" sqref="J11:J34"/>
    </sheetView>
  </sheetViews>
  <sheetFormatPr defaultColWidth="9.140625" defaultRowHeight="12.75"/>
  <cols>
    <col min="1" max="1" width="7.421875" style="12" customWidth="1"/>
    <col min="2" max="2" width="16.57421875" style="12" customWidth="1"/>
    <col min="3" max="10" width="14.7109375" style="12" customWidth="1"/>
    <col min="11" max="16384" width="9.140625" style="12" customWidth="1"/>
  </cols>
  <sheetData>
    <row r="1" spans="5:10" ht="12.75">
      <c r="E1" s="594"/>
      <c r="F1" s="594"/>
      <c r="G1" s="594"/>
      <c r="H1" s="594"/>
      <c r="I1" s="594"/>
      <c r="J1" s="104" t="s">
        <v>362</v>
      </c>
    </row>
    <row r="2" spans="1:10" ht="15">
      <c r="A2" s="684" t="s">
        <v>0</v>
      </c>
      <c r="B2" s="684"/>
      <c r="C2" s="684"/>
      <c r="D2" s="684"/>
      <c r="E2" s="684"/>
      <c r="F2" s="684"/>
      <c r="G2" s="684"/>
      <c r="H2" s="684"/>
      <c r="I2" s="684"/>
      <c r="J2" s="684"/>
    </row>
    <row r="3" spans="1:10" ht="20.25">
      <c r="A3" s="591" t="s">
        <v>645</v>
      </c>
      <c r="B3" s="591"/>
      <c r="C3" s="591"/>
      <c r="D3" s="591"/>
      <c r="E3" s="591"/>
      <c r="F3" s="591"/>
      <c r="G3" s="591"/>
      <c r="H3" s="591"/>
      <c r="I3" s="591"/>
      <c r="J3" s="591"/>
    </row>
    <row r="4" ht="14.25" customHeight="1"/>
    <row r="5" spans="1:10" ht="15.75">
      <c r="A5" s="691" t="s">
        <v>691</v>
      </c>
      <c r="B5" s="691"/>
      <c r="C5" s="691"/>
      <c r="D5" s="691"/>
      <c r="E5" s="691"/>
      <c r="F5" s="691"/>
      <c r="G5" s="691"/>
      <c r="H5" s="691"/>
      <c r="I5" s="691"/>
      <c r="J5" s="691"/>
    </row>
    <row r="6" spans="1:10" ht="13.5" customHeight="1">
      <c r="A6" s="1"/>
      <c r="B6" s="1"/>
      <c r="C6" s="1"/>
      <c r="D6" s="1"/>
      <c r="E6" s="1"/>
      <c r="F6" s="1"/>
      <c r="G6" s="1"/>
      <c r="H6" s="1"/>
      <c r="I6" s="1"/>
      <c r="J6" s="1"/>
    </row>
    <row r="7" spans="1:10" ht="12.75">
      <c r="A7" s="593" t="s">
        <v>956</v>
      </c>
      <c r="B7" s="593"/>
      <c r="C7" s="25"/>
      <c r="H7" s="689" t="s">
        <v>959</v>
      </c>
      <c r="I7" s="689"/>
      <c r="J7" s="689"/>
    </row>
    <row r="8" spans="1:14" ht="12.75">
      <c r="A8" s="573" t="s">
        <v>1</v>
      </c>
      <c r="B8" s="573" t="s">
        <v>2</v>
      </c>
      <c r="C8" s="560" t="s">
        <v>660</v>
      </c>
      <c r="D8" s="688"/>
      <c r="E8" s="688"/>
      <c r="F8" s="561"/>
      <c r="G8" s="560" t="s">
        <v>96</v>
      </c>
      <c r="H8" s="688"/>
      <c r="I8" s="688"/>
      <c r="J8" s="561"/>
      <c r="M8" s="15"/>
      <c r="N8" s="17"/>
    </row>
    <row r="9" spans="1:10" ht="57.75">
      <c r="A9" s="573"/>
      <c r="B9" s="573"/>
      <c r="C9" s="5" t="s">
        <v>181</v>
      </c>
      <c r="D9" s="5" t="s">
        <v>11</v>
      </c>
      <c r="E9" s="5" t="s">
        <v>855</v>
      </c>
      <c r="F9" s="7" t="s">
        <v>199</v>
      </c>
      <c r="G9" s="5" t="s">
        <v>181</v>
      </c>
      <c r="H9" s="21" t="s">
        <v>12</v>
      </c>
      <c r="I9" s="82" t="s">
        <v>106</v>
      </c>
      <c r="J9" s="5" t="s">
        <v>200</v>
      </c>
    </row>
    <row r="10" spans="1:10" ht="12.75">
      <c r="A10" s="5">
        <v>1</v>
      </c>
      <c r="B10" s="5">
        <v>2</v>
      </c>
      <c r="C10" s="5">
        <v>3</v>
      </c>
      <c r="D10" s="5">
        <v>4</v>
      </c>
      <c r="E10" s="5">
        <v>5</v>
      </c>
      <c r="F10" s="7">
        <v>6</v>
      </c>
      <c r="G10" s="5">
        <v>7</v>
      </c>
      <c r="H10" s="80">
        <v>8</v>
      </c>
      <c r="I10" s="5">
        <v>9</v>
      </c>
      <c r="J10" s="5">
        <v>10</v>
      </c>
    </row>
    <row r="11" spans="1:12" ht="12.75">
      <c r="A11" s="14">
        <v>1</v>
      </c>
      <c r="B11" s="224" t="s">
        <v>831</v>
      </c>
      <c r="C11" s="15">
        <v>906</v>
      </c>
      <c r="D11" s="512">
        <v>59236</v>
      </c>
      <c r="E11" s="15">
        <v>254</v>
      </c>
      <c r="F11" s="15">
        <f>D11*E11</f>
        <v>15045944</v>
      </c>
      <c r="G11" s="512">
        <f>'AT3B_cvrg(Insti)_UPY '!L11+'AT3C_cvrg(Insti)_UPY '!L11</f>
        <v>902</v>
      </c>
      <c r="H11" s="512">
        <f>'enrolment vs availed_UPY'!M11+'enrolment vs availed_UPY'!N11+'enrolment vs availed_UPY'!P11</f>
        <v>13999870</v>
      </c>
      <c r="I11" s="512">
        <v>247</v>
      </c>
      <c r="J11" s="512">
        <f>H11/I11</f>
        <v>56679.63562753036</v>
      </c>
      <c r="L11" s="258"/>
    </row>
    <row r="12" spans="1:12" ht="12.75">
      <c r="A12" s="14">
        <v>2</v>
      </c>
      <c r="B12" s="224" t="s">
        <v>832</v>
      </c>
      <c r="C12" s="15">
        <v>339</v>
      </c>
      <c r="D12" s="512">
        <v>18905</v>
      </c>
      <c r="E12" s="15">
        <v>254</v>
      </c>
      <c r="F12" s="15">
        <f aca="true" t="shared" si="0" ref="F12:F34">D12*E12</f>
        <v>4801870</v>
      </c>
      <c r="G12" s="512">
        <f>'AT3B_cvrg(Insti)_UPY '!L12+'AT3C_cvrg(Insti)_UPY '!L12</f>
        <v>337</v>
      </c>
      <c r="H12" s="512">
        <f>'enrolment vs availed_UPY'!M12+'enrolment vs availed_UPY'!N12+'enrolment vs availed_UPY'!P12</f>
        <v>4159604</v>
      </c>
      <c r="I12" s="512">
        <v>247</v>
      </c>
      <c r="J12" s="512">
        <f aca="true" t="shared" si="1" ref="J12:J34">H12/I12</f>
        <v>16840.502024291498</v>
      </c>
      <c r="L12" s="258"/>
    </row>
    <row r="13" spans="1:12" ht="12.75">
      <c r="A13" s="14">
        <v>3</v>
      </c>
      <c r="B13" s="224" t="s">
        <v>833</v>
      </c>
      <c r="C13" s="15">
        <v>218</v>
      </c>
      <c r="D13" s="512">
        <v>16348</v>
      </c>
      <c r="E13" s="15">
        <v>254</v>
      </c>
      <c r="F13" s="15">
        <f t="shared" si="0"/>
        <v>4152392</v>
      </c>
      <c r="G13" s="512">
        <f>'AT3B_cvrg(Insti)_UPY '!L13+'AT3C_cvrg(Insti)_UPY '!L13</f>
        <v>218</v>
      </c>
      <c r="H13" s="512">
        <f>'enrolment vs availed_UPY'!M13+'enrolment vs availed_UPY'!N13+'enrolment vs availed_UPY'!P13</f>
        <v>3475273</v>
      </c>
      <c r="I13" s="512">
        <v>247</v>
      </c>
      <c r="J13" s="512">
        <f t="shared" si="1"/>
        <v>14069.931174089068</v>
      </c>
      <c r="L13" s="258"/>
    </row>
    <row r="14" spans="1:12" ht="12.75">
      <c r="A14" s="14">
        <v>4</v>
      </c>
      <c r="B14" s="224" t="s">
        <v>834</v>
      </c>
      <c r="C14" s="15">
        <v>452</v>
      </c>
      <c r="D14" s="512">
        <v>36830</v>
      </c>
      <c r="E14" s="15">
        <v>254</v>
      </c>
      <c r="F14" s="15">
        <f t="shared" si="0"/>
        <v>9354820</v>
      </c>
      <c r="G14" s="512">
        <f>'AT3B_cvrg(Insti)_UPY '!L14+'AT3C_cvrg(Insti)_UPY '!L14</f>
        <v>641</v>
      </c>
      <c r="H14" s="512">
        <f>'enrolment vs availed_UPY'!M14+'enrolment vs availed_UPY'!N14+'enrolment vs availed_UPY'!P14</f>
        <v>8891888</v>
      </c>
      <c r="I14" s="512">
        <v>247</v>
      </c>
      <c r="J14" s="512">
        <f t="shared" si="1"/>
        <v>35999.54655870445</v>
      </c>
      <c r="L14" s="258"/>
    </row>
    <row r="15" spans="1:12" ht="12.75">
      <c r="A15" s="14">
        <v>5</v>
      </c>
      <c r="B15" s="224" t="s">
        <v>835</v>
      </c>
      <c r="C15" s="15">
        <v>408</v>
      </c>
      <c r="D15" s="512">
        <v>21918</v>
      </c>
      <c r="E15" s="15">
        <v>254</v>
      </c>
      <c r="F15" s="15">
        <f t="shared" si="0"/>
        <v>5567172</v>
      </c>
      <c r="G15" s="512">
        <f>'AT3B_cvrg(Insti)_UPY '!L15+'AT3C_cvrg(Insti)_UPY '!L15</f>
        <v>417</v>
      </c>
      <c r="H15" s="512">
        <f>'enrolment vs availed_UPY'!M15+'enrolment vs availed_UPY'!N15+'enrolment vs availed_UPY'!P15</f>
        <v>4975466</v>
      </c>
      <c r="I15" s="512">
        <v>247</v>
      </c>
      <c r="J15" s="512">
        <f t="shared" si="1"/>
        <v>20143.58704453441</v>
      </c>
      <c r="L15" s="258"/>
    </row>
    <row r="16" spans="1:12" ht="12.75">
      <c r="A16" s="14">
        <v>6</v>
      </c>
      <c r="B16" s="224" t="s">
        <v>836</v>
      </c>
      <c r="C16" s="15">
        <v>687</v>
      </c>
      <c r="D16" s="512">
        <v>45092</v>
      </c>
      <c r="E16" s="15">
        <v>254</v>
      </c>
      <c r="F16" s="15">
        <f t="shared" si="0"/>
        <v>11453368</v>
      </c>
      <c r="G16" s="512">
        <f>'AT3B_cvrg(Insti)_UPY '!L16+'AT3C_cvrg(Insti)_UPY '!L16</f>
        <v>683</v>
      </c>
      <c r="H16" s="512">
        <f>'enrolment vs availed_UPY'!M16+'enrolment vs availed_UPY'!N16+'enrolment vs availed_UPY'!P16</f>
        <v>10925104</v>
      </c>
      <c r="I16" s="512">
        <v>247</v>
      </c>
      <c r="J16" s="512">
        <f t="shared" si="1"/>
        <v>44231.19028340081</v>
      </c>
      <c r="L16" s="258"/>
    </row>
    <row r="17" spans="1:12" ht="12.75">
      <c r="A17" s="14">
        <v>7</v>
      </c>
      <c r="B17" s="224" t="s">
        <v>837</v>
      </c>
      <c r="C17" s="15">
        <v>612</v>
      </c>
      <c r="D17" s="512">
        <v>37129</v>
      </c>
      <c r="E17" s="15">
        <v>254</v>
      </c>
      <c r="F17" s="15">
        <f t="shared" si="0"/>
        <v>9430766</v>
      </c>
      <c r="G17" s="512">
        <f>'AT3B_cvrg(Insti)_UPY '!L17+'AT3C_cvrg(Insti)_UPY '!L17</f>
        <v>612</v>
      </c>
      <c r="H17" s="512">
        <f>'enrolment vs availed_UPY'!M17+'enrolment vs availed_UPY'!N17+'enrolment vs availed_UPY'!P17</f>
        <v>9264539</v>
      </c>
      <c r="I17" s="512">
        <v>247</v>
      </c>
      <c r="J17" s="512">
        <f t="shared" si="1"/>
        <v>37508.25506072875</v>
      </c>
      <c r="L17" s="258"/>
    </row>
    <row r="18" spans="1:12" ht="12.75">
      <c r="A18" s="14">
        <v>8</v>
      </c>
      <c r="B18" s="224" t="s">
        <v>838</v>
      </c>
      <c r="C18" s="15">
        <v>705</v>
      </c>
      <c r="D18" s="512">
        <v>52233</v>
      </c>
      <c r="E18" s="15">
        <v>254</v>
      </c>
      <c r="F18" s="15">
        <f t="shared" si="0"/>
        <v>13267182</v>
      </c>
      <c r="G18" s="512">
        <f>'AT3B_cvrg(Insti)_UPY '!L18+'AT3C_cvrg(Insti)_UPY '!L18</f>
        <v>705</v>
      </c>
      <c r="H18" s="512">
        <f>'enrolment vs availed_UPY'!M18+'enrolment vs availed_UPY'!N18+'enrolment vs availed_UPY'!P18</f>
        <v>11621910</v>
      </c>
      <c r="I18" s="512">
        <v>247</v>
      </c>
      <c r="J18" s="512">
        <f t="shared" si="1"/>
        <v>47052.267206477736</v>
      </c>
      <c r="L18" s="258"/>
    </row>
    <row r="19" spans="1:12" ht="12.75">
      <c r="A19" s="14">
        <v>9</v>
      </c>
      <c r="B19" s="224" t="s">
        <v>839</v>
      </c>
      <c r="C19" s="15">
        <v>1299</v>
      </c>
      <c r="D19" s="512">
        <v>74465</v>
      </c>
      <c r="E19" s="15">
        <v>254</v>
      </c>
      <c r="F19" s="15">
        <f t="shared" si="0"/>
        <v>18914110</v>
      </c>
      <c r="G19" s="512">
        <f>'AT3B_cvrg(Insti)_UPY '!L19+'AT3C_cvrg(Insti)_UPY '!L19</f>
        <v>1299</v>
      </c>
      <c r="H19" s="512">
        <f>'enrolment vs availed_UPY'!M19+'enrolment vs availed_UPY'!N19+'enrolment vs availed_UPY'!P19</f>
        <v>20233417</v>
      </c>
      <c r="I19" s="512">
        <v>247</v>
      </c>
      <c r="J19" s="512">
        <f t="shared" si="1"/>
        <v>81916.66801619434</v>
      </c>
      <c r="L19" s="258"/>
    </row>
    <row r="20" spans="1:12" ht="12.75">
      <c r="A20" s="14">
        <v>10</v>
      </c>
      <c r="B20" s="224" t="s">
        <v>840</v>
      </c>
      <c r="C20" s="15">
        <v>435</v>
      </c>
      <c r="D20" s="512">
        <v>25798</v>
      </c>
      <c r="E20" s="15">
        <v>254</v>
      </c>
      <c r="F20" s="15">
        <f t="shared" si="0"/>
        <v>6552692</v>
      </c>
      <c r="G20" s="512">
        <f>'AT3B_cvrg(Insti)_UPY '!L20+'AT3C_cvrg(Insti)_UPY '!L20</f>
        <v>432</v>
      </c>
      <c r="H20" s="512">
        <f>'enrolment vs availed_UPY'!M20+'enrolment vs availed_UPY'!N20+'enrolment vs availed_UPY'!P20</f>
        <v>6674466</v>
      </c>
      <c r="I20" s="512">
        <v>247</v>
      </c>
      <c r="J20" s="512">
        <f t="shared" si="1"/>
        <v>27022.129554655872</v>
      </c>
      <c r="L20" s="258"/>
    </row>
    <row r="21" spans="1:12" ht="12.75">
      <c r="A21" s="14">
        <v>11</v>
      </c>
      <c r="B21" s="224" t="s">
        <v>841</v>
      </c>
      <c r="C21" s="15">
        <v>459</v>
      </c>
      <c r="D21" s="512">
        <v>36115</v>
      </c>
      <c r="E21" s="15">
        <v>254</v>
      </c>
      <c r="F21" s="15">
        <f t="shared" si="0"/>
        <v>9173210</v>
      </c>
      <c r="G21" s="512">
        <f>'AT3B_cvrg(Insti)_UPY '!L21+'AT3C_cvrg(Insti)_UPY '!L21</f>
        <v>508</v>
      </c>
      <c r="H21" s="512">
        <f>'enrolment vs availed_UPY'!M21+'enrolment vs availed_UPY'!N21+'enrolment vs availed_UPY'!P21</f>
        <v>10033528</v>
      </c>
      <c r="I21" s="512">
        <v>247</v>
      </c>
      <c r="J21" s="512">
        <f t="shared" si="1"/>
        <v>40621.57085020243</v>
      </c>
      <c r="L21" s="258"/>
    </row>
    <row r="22" spans="1:12" ht="12.75">
      <c r="A22" s="14">
        <v>12</v>
      </c>
      <c r="B22" s="224" t="s">
        <v>842</v>
      </c>
      <c r="C22" s="15">
        <v>603</v>
      </c>
      <c r="D22" s="512">
        <v>47044</v>
      </c>
      <c r="E22" s="15">
        <v>254</v>
      </c>
      <c r="F22" s="15">
        <f t="shared" si="0"/>
        <v>11949176</v>
      </c>
      <c r="G22" s="512">
        <f>'AT3B_cvrg(Insti)_UPY '!L22+'AT3C_cvrg(Insti)_UPY '!L22</f>
        <v>590</v>
      </c>
      <c r="H22" s="512">
        <f>'enrolment vs availed_UPY'!M22+'enrolment vs availed_UPY'!N22+'enrolment vs availed_UPY'!P22</f>
        <v>11397564</v>
      </c>
      <c r="I22" s="512">
        <v>247</v>
      </c>
      <c r="J22" s="512">
        <f t="shared" si="1"/>
        <v>46143.98380566802</v>
      </c>
      <c r="L22" s="258"/>
    </row>
    <row r="23" spans="1:12" ht="12.75">
      <c r="A23" s="14">
        <v>13</v>
      </c>
      <c r="B23" s="224" t="s">
        <v>843</v>
      </c>
      <c r="C23" s="15">
        <v>257</v>
      </c>
      <c r="D23" s="512">
        <v>23333</v>
      </c>
      <c r="E23" s="15">
        <v>254</v>
      </c>
      <c r="F23" s="15">
        <f t="shared" si="0"/>
        <v>5926582</v>
      </c>
      <c r="G23" s="512">
        <f>'AT3B_cvrg(Insti)_UPY '!L23+'AT3C_cvrg(Insti)_UPY '!L23</f>
        <v>257</v>
      </c>
      <c r="H23" s="512">
        <f>'enrolment vs availed_UPY'!M23+'enrolment vs availed_UPY'!N23+'enrolment vs availed_UPY'!P23</f>
        <v>5345312</v>
      </c>
      <c r="I23" s="512">
        <v>247</v>
      </c>
      <c r="J23" s="512">
        <f t="shared" si="1"/>
        <v>21640.93927125506</v>
      </c>
      <c r="L23" s="258"/>
    </row>
    <row r="24" spans="1:12" ht="12.75">
      <c r="A24" s="14">
        <v>14</v>
      </c>
      <c r="B24" s="224" t="s">
        <v>844</v>
      </c>
      <c r="C24" s="15">
        <v>316</v>
      </c>
      <c r="D24" s="512">
        <v>23849</v>
      </c>
      <c r="E24" s="15">
        <v>254</v>
      </c>
      <c r="F24" s="15">
        <f t="shared" si="0"/>
        <v>6057646</v>
      </c>
      <c r="G24" s="512">
        <f>'AT3B_cvrg(Insti)_UPY '!L24+'AT3C_cvrg(Insti)_UPY '!L24</f>
        <v>317</v>
      </c>
      <c r="H24" s="512">
        <f>'enrolment vs availed_UPY'!M24+'enrolment vs availed_UPY'!N24+'enrolment vs availed_UPY'!P24</f>
        <v>5490867</v>
      </c>
      <c r="I24" s="512">
        <v>247</v>
      </c>
      <c r="J24" s="512">
        <f t="shared" si="1"/>
        <v>22230.23076923077</v>
      </c>
      <c r="L24" s="258"/>
    </row>
    <row r="25" spans="1:12" ht="12.75">
      <c r="A25" s="14">
        <v>15</v>
      </c>
      <c r="B25" s="224" t="s">
        <v>845</v>
      </c>
      <c r="C25" s="15">
        <v>710</v>
      </c>
      <c r="D25" s="512">
        <v>43967</v>
      </c>
      <c r="E25" s="15">
        <v>254</v>
      </c>
      <c r="F25" s="15">
        <f t="shared" si="0"/>
        <v>11167618</v>
      </c>
      <c r="G25" s="512">
        <f>'AT3B_cvrg(Insti)_UPY '!L25+'AT3C_cvrg(Insti)_UPY '!L25</f>
        <v>711</v>
      </c>
      <c r="H25" s="512">
        <f>'enrolment vs availed_UPY'!M25+'enrolment vs availed_UPY'!N25+'enrolment vs availed_UPY'!P25</f>
        <v>10362885</v>
      </c>
      <c r="I25" s="512">
        <v>247</v>
      </c>
      <c r="J25" s="512">
        <f t="shared" si="1"/>
        <v>41955</v>
      </c>
      <c r="L25" s="258"/>
    </row>
    <row r="26" spans="1:12" ht="12.75">
      <c r="A26" s="14">
        <v>16</v>
      </c>
      <c r="B26" s="224" t="s">
        <v>846</v>
      </c>
      <c r="C26" s="15">
        <v>1295</v>
      </c>
      <c r="D26" s="512">
        <v>64642</v>
      </c>
      <c r="E26" s="15">
        <v>254</v>
      </c>
      <c r="F26" s="15">
        <f t="shared" si="0"/>
        <v>16419068</v>
      </c>
      <c r="G26" s="512">
        <f>'AT3B_cvrg(Insti)_UPY '!L26+'AT3C_cvrg(Insti)_UPY '!L26</f>
        <v>1293</v>
      </c>
      <c r="H26" s="512">
        <f>'enrolment vs availed_UPY'!M26+'enrolment vs availed_UPY'!N26+'enrolment vs availed_UPY'!P26</f>
        <v>16017606</v>
      </c>
      <c r="I26" s="512">
        <v>247</v>
      </c>
      <c r="J26" s="512">
        <f t="shared" si="1"/>
        <v>64848.60728744939</v>
      </c>
      <c r="L26" s="258"/>
    </row>
    <row r="27" spans="1:12" ht="12.75">
      <c r="A27" s="14">
        <v>17</v>
      </c>
      <c r="B27" s="224" t="s">
        <v>847</v>
      </c>
      <c r="C27" s="15">
        <v>615</v>
      </c>
      <c r="D27" s="512">
        <v>53870</v>
      </c>
      <c r="E27" s="15">
        <v>254</v>
      </c>
      <c r="F27" s="15">
        <f t="shared" si="0"/>
        <v>13682980</v>
      </c>
      <c r="G27" s="512">
        <f>'AT3B_cvrg(Insti)_UPY '!L27+'AT3C_cvrg(Insti)_UPY '!L27</f>
        <v>614</v>
      </c>
      <c r="H27" s="512">
        <f>'enrolment vs availed_UPY'!M27+'enrolment vs availed_UPY'!N27+'enrolment vs availed_UPY'!P27</f>
        <v>12509195</v>
      </c>
      <c r="I27" s="512">
        <v>247</v>
      </c>
      <c r="J27" s="512">
        <f t="shared" si="1"/>
        <v>50644.514170040486</v>
      </c>
      <c r="L27" s="258"/>
    </row>
    <row r="28" spans="1:12" ht="12.75">
      <c r="A28" s="14">
        <v>18</v>
      </c>
      <c r="B28" s="224" t="s">
        <v>848</v>
      </c>
      <c r="C28" s="15">
        <v>559</v>
      </c>
      <c r="D28" s="512">
        <v>45283</v>
      </c>
      <c r="E28" s="15">
        <v>254</v>
      </c>
      <c r="F28" s="15">
        <f t="shared" si="0"/>
        <v>11501882</v>
      </c>
      <c r="G28" s="512">
        <f>'AT3B_cvrg(Insti)_UPY '!L28+'AT3C_cvrg(Insti)_UPY '!L28</f>
        <v>559</v>
      </c>
      <c r="H28" s="512">
        <f>'enrolment vs availed_UPY'!M28+'enrolment vs availed_UPY'!N28+'enrolment vs availed_UPY'!P28</f>
        <v>10658574</v>
      </c>
      <c r="I28" s="512">
        <v>247</v>
      </c>
      <c r="J28" s="512">
        <f t="shared" si="1"/>
        <v>43152.12145748988</v>
      </c>
      <c r="L28" s="258"/>
    </row>
    <row r="29" spans="1:12" ht="12.75">
      <c r="A29" s="14">
        <v>19</v>
      </c>
      <c r="B29" s="224" t="s">
        <v>849</v>
      </c>
      <c r="C29" s="15">
        <v>821</v>
      </c>
      <c r="D29" s="512">
        <v>33577</v>
      </c>
      <c r="E29" s="15">
        <v>254</v>
      </c>
      <c r="F29" s="15">
        <f t="shared" si="0"/>
        <v>8528558</v>
      </c>
      <c r="G29" s="512">
        <f>'AT3B_cvrg(Insti)_UPY '!L29+'AT3C_cvrg(Insti)_UPY '!L29</f>
        <v>821</v>
      </c>
      <c r="H29" s="512">
        <f>'enrolment vs availed_UPY'!M29+'enrolment vs availed_UPY'!N29+'enrolment vs availed_UPY'!P29</f>
        <v>8481090</v>
      </c>
      <c r="I29" s="512">
        <v>247</v>
      </c>
      <c r="J29" s="512">
        <f t="shared" si="1"/>
        <v>34336.396761133605</v>
      </c>
      <c r="L29" s="258"/>
    </row>
    <row r="30" spans="1:12" ht="12.75">
      <c r="A30" s="14">
        <v>20</v>
      </c>
      <c r="B30" s="224" t="s">
        <v>850</v>
      </c>
      <c r="C30" s="15">
        <v>448</v>
      </c>
      <c r="D30" s="512">
        <v>24950</v>
      </c>
      <c r="E30" s="15">
        <v>254</v>
      </c>
      <c r="F30" s="15">
        <f t="shared" si="0"/>
        <v>6337300</v>
      </c>
      <c r="G30" s="512">
        <f>'AT3B_cvrg(Insti)_UPY '!L30+'AT3C_cvrg(Insti)_UPY '!L30</f>
        <v>448</v>
      </c>
      <c r="H30" s="512">
        <f>'enrolment vs availed_UPY'!M30+'enrolment vs availed_UPY'!N30+'enrolment vs availed_UPY'!P30</f>
        <v>5808955</v>
      </c>
      <c r="I30" s="512">
        <v>247</v>
      </c>
      <c r="J30" s="512">
        <f t="shared" si="1"/>
        <v>23518.036437246963</v>
      </c>
      <c r="L30" s="258"/>
    </row>
    <row r="31" spans="1:12" ht="12.75">
      <c r="A31" s="14">
        <v>21</v>
      </c>
      <c r="B31" s="224" t="s">
        <v>851</v>
      </c>
      <c r="C31" s="15">
        <v>550</v>
      </c>
      <c r="D31" s="512">
        <v>28710</v>
      </c>
      <c r="E31" s="15">
        <v>254</v>
      </c>
      <c r="F31" s="15">
        <f t="shared" si="0"/>
        <v>7292340</v>
      </c>
      <c r="G31" s="512">
        <f>'AT3B_cvrg(Insti)_UPY '!L31+'AT3C_cvrg(Insti)_UPY '!L31</f>
        <v>538</v>
      </c>
      <c r="H31" s="512">
        <f>'enrolment vs availed_UPY'!M31+'enrolment vs availed_UPY'!N31+'enrolment vs availed_UPY'!P31</f>
        <v>7042400</v>
      </c>
      <c r="I31" s="512">
        <v>247</v>
      </c>
      <c r="J31" s="512">
        <f t="shared" si="1"/>
        <v>28511.74089068826</v>
      </c>
      <c r="L31" s="258"/>
    </row>
    <row r="32" spans="1:12" ht="12.75">
      <c r="A32" s="14">
        <v>22</v>
      </c>
      <c r="B32" s="224" t="s">
        <v>852</v>
      </c>
      <c r="C32" s="15">
        <v>387</v>
      </c>
      <c r="D32" s="512">
        <v>24816</v>
      </c>
      <c r="E32" s="15">
        <v>254</v>
      </c>
      <c r="F32" s="15">
        <f t="shared" si="0"/>
        <v>6303264</v>
      </c>
      <c r="G32" s="512">
        <f>'AT3B_cvrg(Insti)_UPY '!L32+'AT3C_cvrg(Insti)_UPY '!L32</f>
        <v>387</v>
      </c>
      <c r="H32" s="512">
        <f>'enrolment vs availed_UPY'!M32+'enrolment vs availed_UPY'!N32+'enrolment vs availed_UPY'!P32</f>
        <v>5122351</v>
      </c>
      <c r="I32" s="512">
        <v>247</v>
      </c>
      <c r="J32" s="512">
        <f t="shared" si="1"/>
        <v>20738.263157894737</v>
      </c>
      <c r="L32" s="258"/>
    </row>
    <row r="33" spans="1:12" ht="12.75">
      <c r="A33" s="14">
        <v>23</v>
      </c>
      <c r="B33" s="224" t="s">
        <v>853</v>
      </c>
      <c r="C33" s="15">
        <v>676</v>
      </c>
      <c r="D33" s="512">
        <v>40626</v>
      </c>
      <c r="E33" s="15">
        <v>254</v>
      </c>
      <c r="F33" s="15">
        <f t="shared" si="0"/>
        <v>10319004</v>
      </c>
      <c r="G33" s="512">
        <f>'AT3B_cvrg(Insti)_UPY '!L33+'AT3C_cvrg(Insti)_UPY '!L33</f>
        <v>674</v>
      </c>
      <c r="H33" s="512">
        <f>'enrolment vs availed_UPY'!M33+'enrolment vs availed_UPY'!N33+'enrolment vs availed_UPY'!P33</f>
        <v>10003715</v>
      </c>
      <c r="I33" s="512">
        <v>247</v>
      </c>
      <c r="J33" s="512">
        <f t="shared" si="1"/>
        <v>40500.87044534413</v>
      </c>
      <c r="L33" s="258"/>
    </row>
    <row r="34" spans="1:12" ht="12.75">
      <c r="A34" s="14">
        <v>24</v>
      </c>
      <c r="B34" s="224" t="s">
        <v>854</v>
      </c>
      <c r="C34" s="15">
        <v>662</v>
      </c>
      <c r="D34" s="512">
        <v>46737</v>
      </c>
      <c r="E34" s="15">
        <v>254</v>
      </c>
      <c r="F34" s="15">
        <f t="shared" si="0"/>
        <v>11871198</v>
      </c>
      <c r="G34" s="512">
        <f>'AT3B_cvrg(Insti)_UPY '!L34+'AT3C_cvrg(Insti)_UPY '!L34</f>
        <v>657</v>
      </c>
      <c r="H34" s="512">
        <f>'enrolment vs availed_UPY'!M34+'enrolment vs availed_UPY'!N34+'enrolment vs availed_UPY'!P34</f>
        <v>12003726</v>
      </c>
      <c r="I34" s="512">
        <v>247</v>
      </c>
      <c r="J34" s="512">
        <f t="shared" si="1"/>
        <v>48598.08097165992</v>
      </c>
      <c r="L34" s="258"/>
    </row>
    <row r="35" spans="1:10" s="11" customFormat="1" ht="12.75">
      <c r="A35" s="560" t="s">
        <v>13</v>
      </c>
      <c r="B35" s="561"/>
      <c r="C35" s="23">
        <f>SUM(C11:C34)</f>
        <v>14419</v>
      </c>
      <c r="D35" s="23">
        <f>SUM(D11:D34)</f>
        <v>925473</v>
      </c>
      <c r="E35" s="15">
        <v>254</v>
      </c>
      <c r="F35" s="23">
        <f>D35*E35</f>
        <v>235070142</v>
      </c>
      <c r="G35" s="226">
        <f>SUM(G11:G34)</f>
        <v>14620</v>
      </c>
      <c r="H35" s="226">
        <f>SUM(H11:H34)</f>
        <v>224499305</v>
      </c>
      <c r="I35" s="226"/>
      <c r="J35" s="226">
        <f>SUM(J11:J34)</f>
        <v>908904.0688259108</v>
      </c>
    </row>
    <row r="36" spans="1:10" ht="12.75">
      <c r="A36" s="9"/>
      <c r="B36" s="24"/>
      <c r="C36" s="24"/>
      <c r="D36" s="17"/>
      <c r="E36" s="17"/>
      <c r="F36" s="17"/>
      <c r="G36" s="17"/>
      <c r="H36" s="17"/>
      <c r="I36" s="17"/>
      <c r="J36" s="17"/>
    </row>
    <row r="37" spans="1:10" ht="12.75">
      <c r="A37" s="9"/>
      <c r="B37" s="24"/>
      <c r="C37" s="24"/>
      <c r="D37" s="17"/>
      <c r="E37" s="17"/>
      <c r="F37" s="17"/>
      <c r="G37" s="17"/>
      <c r="H37" s="395"/>
      <c r="I37" s="17"/>
      <c r="J37" s="17"/>
    </row>
    <row r="38" spans="1:10" ht="12.75">
      <c r="A38" s="9"/>
      <c r="B38" s="24"/>
      <c r="C38" s="24"/>
      <c r="D38" s="17"/>
      <c r="E38" s="17"/>
      <c r="F38" s="17"/>
      <c r="G38" s="17"/>
      <c r="H38" s="17"/>
      <c r="I38" s="17"/>
      <c r="J38" s="17"/>
    </row>
    <row r="39" spans="1:10" ht="15.75" customHeight="1">
      <c r="A39" s="11"/>
      <c r="B39" s="11"/>
      <c r="C39" s="11"/>
      <c r="D39" s="11"/>
      <c r="E39" s="11"/>
      <c r="F39" s="11"/>
      <c r="G39" s="11"/>
      <c r="I39" s="68"/>
      <c r="J39" s="68"/>
    </row>
    <row r="40" spans="1:10" ht="12.75" customHeight="1">
      <c r="A40" s="559" t="s">
        <v>989</v>
      </c>
      <c r="B40" s="559"/>
      <c r="C40" s="559"/>
      <c r="E40" s="559" t="s">
        <v>990</v>
      </c>
      <c r="F40" s="559"/>
      <c r="G40" s="359"/>
      <c r="H40" s="559" t="s">
        <v>996</v>
      </c>
      <c r="I40" s="559"/>
      <c r="J40" s="559"/>
    </row>
    <row r="41" spans="1:10" ht="12.75" customHeight="1">
      <c r="A41" s="559" t="s">
        <v>991</v>
      </c>
      <c r="B41" s="559"/>
      <c r="C41" s="559"/>
      <c r="E41" s="559" t="s">
        <v>992</v>
      </c>
      <c r="F41" s="559"/>
      <c r="G41" s="359"/>
      <c r="H41" s="559" t="s">
        <v>993</v>
      </c>
      <c r="I41" s="559"/>
      <c r="J41" s="559"/>
    </row>
    <row r="42" spans="1:10" ht="12.75">
      <c r="A42" s="559" t="s">
        <v>994</v>
      </c>
      <c r="B42" s="559"/>
      <c r="C42" s="559"/>
      <c r="E42" s="559" t="s">
        <v>995</v>
      </c>
      <c r="F42" s="559"/>
      <c r="G42" s="359"/>
      <c r="H42" s="559" t="s">
        <v>995</v>
      </c>
      <c r="I42" s="559"/>
      <c r="J42" s="559"/>
    </row>
    <row r="46" spans="1:10" ht="12.75">
      <c r="A46" s="694"/>
      <c r="B46" s="694"/>
      <c r="C46" s="694"/>
      <c r="D46" s="694"/>
      <c r="E46" s="694"/>
      <c r="F46" s="694"/>
      <c r="G46" s="694"/>
      <c r="H46" s="694"/>
      <c r="I46" s="694"/>
      <c r="J46" s="694"/>
    </row>
    <row r="48" spans="1:10" ht="12.75">
      <c r="A48" s="694"/>
      <c r="B48" s="694"/>
      <c r="C48" s="694"/>
      <c r="D48" s="694"/>
      <c r="E48" s="694"/>
      <c r="F48" s="694"/>
      <c r="G48" s="694"/>
      <c r="H48" s="694"/>
      <c r="I48" s="694"/>
      <c r="J48" s="694"/>
    </row>
  </sheetData>
  <sheetProtection/>
  <mergeCells count="22">
    <mergeCell ref="A46:J46"/>
    <mergeCell ref="A48:J48"/>
    <mergeCell ref="A8:A9"/>
    <mergeCell ref="B8:B9"/>
    <mergeCell ref="C8:F8"/>
    <mergeCell ref="G8:J8"/>
    <mergeCell ref="A40:C40"/>
    <mergeCell ref="E40:F40"/>
    <mergeCell ref="H40:J40"/>
    <mergeCell ref="A41:C41"/>
    <mergeCell ref="E1:I1"/>
    <mergeCell ref="A2:J2"/>
    <mergeCell ref="A3:J3"/>
    <mergeCell ref="A5:J5"/>
    <mergeCell ref="A7:B7"/>
    <mergeCell ref="H7:J7"/>
    <mergeCell ref="E41:F41"/>
    <mergeCell ref="H41:J41"/>
    <mergeCell ref="A42:C42"/>
    <mergeCell ref="E42:F42"/>
    <mergeCell ref="H42:J42"/>
    <mergeCell ref="A35:B3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P48"/>
  <sheetViews>
    <sheetView view="pageBreakPreview" zoomScale="70" zoomScaleSheetLayoutView="70" zoomScalePageLayoutView="0" workbookViewId="0" topLeftCell="A1">
      <selection activeCell="J11" sqref="J11:J34"/>
    </sheetView>
  </sheetViews>
  <sheetFormatPr defaultColWidth="9.140625" defaultRowHeight="12.75"/>
  <cols>
    <col min="1" max="1" width="7.421875" style="12" customWidth="1"/>
    <col min="2" max="2" width="17.140625" style="12" customWidth="1"/>
    <col min="3" max="3" width="13.57421875" style="12" customWidth="1"/>
    <col min="4" max="6" width="14.421875" style="12" customWidth="1"/>
    <col min="7" max="10" width="14.8515625" style="12" customWidth="1"/>
    <col min="11" max="16384" width="9.140625" style="12" customWidth="1"/>
  </cols>
  <sheetData>
    <row r="1" spans="5:10" ht="12.75">
      <c r="E1" s="594"/>
      <c r="F1" s="594"/>
      <c r="G1" s="594"/>
      <c r="H1" s="594"/>
      <c r="I1" s="594"/>
      <c r="J1" s="104" t="s">
        <v>364</v>
      </c>
    </row>
    <row r="2" spans="1:10" ht="15">
      <c r="A2" s="684" t="s">
        <v>0</v>
      </c>
      <c r="B2" s="684"/>
      <c r="C2" s="684"/>
      <c r="D2" s="684"/>
      <c r="E2" s="684"/>
      <c r="F2" s="684"/>
      <c r="G2" s="684"/>
      <c r="H2" s="684"/>
      <c r="I2" s="684"/>
      <c r="J2" s="684"/>
    </row>
    <row r="3" spans="1:10" ht="20.25">
      <c r="A3" s="591" t="s">
        <v>645</v>
      </c>
      <c r="B3" s="591"/>
      <c r="C3" s="591"/>
      <c r="D3" s="591"/>
      <c r="E3" s="591"/>
      <c r="F3" s="591"/>
      <c r="G3" s="591"/>
      <c r="H3" s="591"/>
      <c r="I3" s="591"/>
      <c r="J3" s="591"/>
    </row>
    <row r="4" spans="12:15" ht="14.25" customHeight="1">
      <c r="L4" s="17"/>
      <c r="M4" s="17"/>
      <c r="N4" s="17"/>
      <c r="O4" s="17"/>
    </row>
    <row r="5" spans="1:15" ht="15.75">
      <c r="A5" s="691" t="s">
        <v>692</v>
      </c>
      <c r="B5" s="691"/>
      <c r="C5" s="691"/>
      <c r="D5" s="691"/>
      <c r="E5" s="691"/>
      <c r="F5" s="691"/>
      <c r="G5" s="691"/>
      <c r="H5" s="691"/>
      <c r="I5" s="691"/>
      <c r="J5" s="691"/>
      <c r="L5" s="17"/>
      <c r="M5" s="17"/>
      <c r="N5" s="17"/>
      <c r="O5" s="17"/>
    </row>
    <row r="6" spans="1:15" ht="13.5" customHeight="1">
      <c r="A6" s="1"/>
      <c r="B6" s="1"/>
      <c r="C6" s="1"/>
      <c r="D6" s="1"/>
      <c r="E6" s="1"/>
      <c r="F6" s="1"/>
      <c r="G6" s="1"/>
      <c r="H6" s="1"/>
      <c r="I6" s="1"/>
      <c r="J6" s="1"/>
      <c r="L6" s="17"/>
      <c r="M6" s="17"/>
      <c r="N6" s="17"/>
      <c r="O6" s="17"/>
    </row>
    <row r="7" spans="1:15" ht="12.75">
      <c r="A7" s="593" t="s">
        <v>956</v>
      </c>
      <c r="B7" s="593"/>
      <c r="C7" s="25"/>
      <c r="H7" s="689" t="s">
        <v>959</v>
      </c>
      <c r="I7" s="689"/>
      <c r="J7" s="689"/>
      <c r="L7" s="17"/>
      <c r="M7" s="17"/>
      <c r="N7" s="17"/>
      <c r="O7" s="17"/>
    </row>
    <row r="8" spans="1:16" ht="12.75">
      <c r="A8" s="573" t="s">
        <v>1</v>
      </c>
      <c r="B8" s="573" t="s">
        <v>2</v>
      </c>
      <c r="C8" s="560" t="s">
        <v>662</v>
      </c>
      <c r="D8" s="688"/>
      <c r="E8" s="688"/>
      <c r="F8" s="561"/>
      <c r="G8" s="560" t="s">
        <v>96</v>
      </c>
      <c r="H8" s="688"/>
      <c r="I8" s="688"/>
      <c r="J8" s="561"/>
      <c r="L8" s="17"/>
      <c r="M8" s="17"/>
      <c r="N8" s="17"/>
      <c r="O8" s="17"/>
      <c r="P8" s="17"/>
    </row>
    <row r="9" spans="1:15" ht="51">
      <c r="A9" s="573"/>
      <c r="B9" s="573"/>
      <c r="C9" s="5" t="s">
        <v>181</v>
      </c>
      <c r="D9" s="5" t="s">
        <v>11</v>
      </c>
      <c r="E9" s="175" t="s">
        <v>661</v>
      </c>
      <c r="F9" s="7" t="s">
        <v>199</v>
      </c>
      <c r="G9" s="5" t="s">
        <v>181</v>
      </c>
      <c r="H9" s="21" t="s">
        <v>12</v>
      </c>
      <c r="I9" s="82" t="s">
        <v>106</v>
      </c>
      <c r="J9" s="5" t="s">
        <v>200</v>
      </c>
      <c r="L9" s="17"/>
      <c r="M9" s="17"/>
      <c r="N9" s="17"/>
      <c r="O9" s="17"/>
    </row>
    <row r="10" spans="1:15" ht="12.75">
      <c r="A10" s="5">
        <v>1</v>
      </c>
      <c r="B10" s="5">
        <v>2</v>
      </c>
      <c r="C10" s="5">
        <v>3</v>
      </c>
      <c r="D10" s="5">
        <v>4</v>
      </c>
      <c r="E10" s="5">
        <v>5</v>
      </c>
      <c r="F10" s="7">
        <v>6</v>
      </c>
      <c r="G10" s="5">
        <v>7</v>
      </c>
      <c r="H10" s="80">
        <v>8</v>
      </c>
      <c r="I10" s="5">
        <v>9</v>
      </c>
      <c r="J10" s="5">
        <v>10</v>
      </c>
      <c r="L10" s="17"/>
      <c r="M10" s="17"/>
      <c r="N10" s="17"/>
      <c r="O10" s="17"/>
    </row>
    <row r="11" spans="1:15" ht="12.75">
      <c r="A11" s="14">
        <v>1</v>
      </c>
      <c r="B11" s="224" t="s">
        <v>831</v>
      </c>
      <c r="C11" s="15">
        <v>30</v>
      </c>
      <c r="D11" s="15">
        <v>888</v>
      </c>
      <c r="E11" s="15">
        <v>311</v>
      </c>
      <c r="F11" s="15">
        <f>D11*E11</f>
        <v>276168</v>
      </c>
      <c r="G11" s="512">
        <f>'AT3A_cvrg(Insti)_PY'!J11</f>
        <v>28</v>
      </c>
      <c r="H11" s="512">
        <f>'enrolment vs availed_UPY'!O11</f>
        <v>137682</v>
      </c>
      <c r="I11" s="512">
        <v>291</v>
      </c>
      <c r="J11" s="512">
        <f>H11/I11</f>
        <v>473.1340206185567</v>
      </c>
      <c r="L11" s="256"/>
      <c r="M11" s="17"/>
      <c r="N11" s="17"/>
      <c r="O11" s="17"/>
    </row>
    <row r="12" spans="1:15" ht="12.75">
      <c r="A12" s="14">
        <v>2</v>
      </c>
      <c r="B12" s="224" t="s">
        <v>832</v>
      </c>
      <c r="C12" s="15">
        <v>0</v>
      </c>
      <c r="D12" s="15">
        <v>0</v>
      </c>
      <c r="E12" s="15">
        <v>311</v>
      </c>
      <c r="F12" s="15">
        <f aca="true" t="shared" si="0" ref="F12:F35">D12*E12</f>
        <v>0</v>
      </c>
      <c r="G12" s="512">
        <f>'AT3A_cvrg(Insti)_PY'!J12</f>
        <v>0</v>
      </c>
      <c r="H12" s="512">
        <f>'enrolment vs availed_UPY'!O12</f>
        <v>0</v>
      </c>
      <c r="I12" s="512">
        <v>291</v>
      </c>
      <c r="J12" s="512">
        <f aca="true" t="shared" si="1" ref="J12:J34">H12/I12</f>
        <v>0</v>
      </c>
      <c r="L12" s="17"/>
      <c r="M12" s="17"/>
      <c r="N12" s="17"/>
      <c r="O12" s="17"/>
    </row>
    <row r="13" spans="1:15" ht="12.75">
      <c r="A13" s="14">
        <v>3</v>
      </c>
      <c r="B13" s="224" t="s">
        <v>833</v>
      </c>
      <c r="C13" s="15">
        <v>0</v>
      </c>
      <c r="D13" s="15">
        <v>0</v>
      </c>
      <c r="E13" s="15">
        <v>311</v>
      </c>
      <c r="F13" s="15">
        <f t="shared" si="0"/>
        <v>0</v>
      </c>
      <c r="G13" s="512">
        <f>'AT3A_cvrg(Insti)_PY'!J13</f>
        <v>0</v>
      </c>
      <c r="H13" s="512">
        <f>'enrolment vs availed_UPY'!O13</f>
        <v>0</v>
      </c>
      <c r="I13" s="512">
        <v>291</v>
      </c>
      <c r="J13" s="512">
        <f t="shared" si="1"/>
        <v>0</v>
      </c>
      <c r="L13" s="17"/>
      <c r="M13" s="17"/>
      <c r="N13" s="17"/>
      <c r="O13" s="17"/>
    </row>
    <row r="14" spans="1:15" ht="12.75">
      <c r="A14" s="14">
        <v>4</v>
      </c>
      <c r="B14" s="224" t="s">
        <v>834</v>
      </c>
      <c r="C14" s="15">
        <v>0</v>
      </c>
      <c r="D14" s="15">
        <v>0</v>
      </c>
      <c r="E14" s="15">
        <v>311</v>
      </c>
      <c r="F14" s="15">
        <f t="shared" si="0"/>
        <v>0</v>
      </c>
      <c r="G14" s="512">
        <f>'AT3A_cvrg(Insti)_PY'!J14</f>
        <v>0</v>
      </c>
      <c r="H14" s="512">
        <f>'enrolment vs availed_UPY'!O14</f>
        <v>0</v>
      </c>
      <c r="I14" s="512">
        <v>291</v>
      </c>
      <c r="J14" s="512">
        <f t="shared" si="1"/>
        <v>0</v>
      </c>
      <c r="L14" s="17"/>
      <c r="M14" s="17"/>
      <c r="N14" s="17"/>
      <c r="O14" s="17"/>
    </row>
    <row r="15" spans="1:15" ht="12.75">
      <c r="A15" s="14">
        <v>5</v>
      </c>
      <c r="B15" s="224" t="s">
        <v>835</v>
      </c>
      <c r="C15" s="15">
        <v>0</v>
      </c>
      <c r="D15" s="15">
        <v>0</v>
      </c>
      <c r="E15" s="15">
        <v>311</v>
      </c>
      <c r="F15" s="15">
        <f t="shared" si="0"/>
        <v>0</v>
      </c>
      <c r="G15" s="512">
        <f>'AT3A_cvrg(Insti)_PY'!J15</f>
        <v>0</v>
      </c>
      <c r="H15" s="512">
        <f>'enrolment vs availed_UPY'!O15</f>
        <v>0</v>
      </c>
      <c r="I15" s="512">
        <v>291</v>
      </c>
      <c r="J15" s="512">
        <f t="shared" si="1"/>
        <v>0</v>
      </c>
      <c r="L15" s="17"/>
      <c r="M15" s="17"/>
      <c r="N15" s="17"/>
      <c r="O15" s="17"/>
    </row>
    <row r="16" spans="1:15" ht="12.75">
      <c r="A16" s="14">
        <v>6</v>
      </c>
      <c r="B16" s="224" t="s">
        <v>836</v>
      </c>
      <c r="C16" s="15">
        <v>0</v>
      </c>
      <c r="D16" s="15">
        <v>0</v>
      </c>
      <c r="E16" s="15">
        <v>311</v>
      </c>
      <c r="F16" s="15">
        <f t="shared" si="0"/>
        <v>0</v>
      </c>
      <c r="G16" s="512">
        <f>'AT3A_cvrg(Insti)_PY'!J16</f>
        <v>0</v>
      </c>
      <c r="H16" s="512">
        <f>'enrolment vs availed_UPY'!O16</f>
        <v>0</v>
      </c>
      <c r="I16" s="512">
        <v>291</v>
      </c>
      <c r="J16" s="512">
        <f t="shared" si="1"/>
        <v>0</v>
      </c>
      <c r="L16" s="17"/>
      <c r="M16" s="17"/>
      <c r="N16" s="17"/>
      <c r="O16" s="17"/>
    </row>
    <row r="17" spans="1:15" ht="12.75">
      <c r="A17" s="14">
        <v>7</v>
      </c>
      <c r="B17" s="224" t="s">
        <v>837</v>
      </c>
      <c r="C17" s="15">
        <v>0</v>
      </c>
      <c r="D17" s="15">
        <v>0</v>
      </c>
      <c r="E17" s="15">
        <v>311</v>
      </c>
      <c r="F17" s="15">
        <f t="shared" si="0"/>
        <v>0</v>
      </c>
      <c r="G17" s="512">
        <f>'AT3A_cvrg(Insti)_PY'!J17</f>
        <v>0</v>
      </c>
      <c r="H17" s="512">
        <f>'enrolment vs availed_UPY'!O17</f>
        <v>0</v>
      </c>
      <c r="I17" s="512">
        <v>291</v>
      </c>
      <c r="J17" s="512">
        <f t="shared" si="1"/>
        <v>0</v>
      </c>
      <c r="L17" s="17"/>
      <c r="M17" s="17"/>
      <c r="N17" s="17"/>
      <c r="O17" s="17"/>
    </row>
    <row r="18" spans="1:15" ht="12.75">
      <c r="A18" s="14">
        <v>8</v>
      </c>
      <c r="B18" s="224" t="s">
        <v>838</v>
      </c>
      <c r="C18" s="15">
        <v>31</v>
      </c>
      <c r="D18" s="15">
        <v>641</v>
      </c>
      <c r="E18" s="15">
        <v>311</v>
      </c>
      <c r="F18" s="15">
        <f t="shared" si="0"/>
        <v>199351</v>
      </c>
      <c r="G18" s="512">
        <f>'AT3A_cvrg(Insti)_PY'!J18</f>
        <v>31</v>
      </c>
      <c r="H18" s="512">
        <f>'enrolment vs availed_UPY'!O18</f>
        <v>217887</v>
      </c>
      <c r="I18" s="512">
        <v>291</v>
      </c>
      <c r="J18" s="512">
        <f t="shared" si="1"/>
        <v>748.7525773195877</v>
      </c>
      <c r="L18" s="17"/>
      <c r="M18" s="17"/>
      <c r="N18" s="17"/>
      <c r="O18" s="17"/>
    </row>
    <row r="19" spans="1:15" ht="12.75">
      <c r="A19" s="14">
        <v>9</v>
      </c>
      <c r="B19" s="224" t="s">
        <v>839</v>
      </c>
      <c r="C19" s="15">
        <v>0</v>
      </c>
      <c r="D19" s="15">
        <v>0</v>
      </c>
      <c r="E19" s="15">
        <v>311</v>
      </c>
      <c r="F19" s="15">
        <f t="shared" si="0"/>
        <v>0</v>
      </c>
      <c r="G19" s="512">
        <f>'AT3A_cvrg(Insti)_PY'!J19</f>
        <v>0</v>
      </c>
      <c r="H19" s="512">
        <f>'enrolment vs availed_UPY'!O19</f>
        <v>0</v>
      </c>
      <c r="I19" s="512">
        <v>291</v>
      </c>
      <c r="J19" s="512">
        <f t="shared" si="1"/>
        <v>0</v>
      </c>
      <c r="L19" s="17"/>
      <c r="M19" s="17"/>
      <c r="N19" s="17"/>
      <c r="O19" s="17"/>
    </row>
    <row r="20" spans="1:15" ht="12.75">
      <c r="A20" s="14">
        <v>10</v>
      </c>
      <c r="B20" s="224" t="s">
        <v>840</v>
      </c>
      <c r="C20" s="15">
        <v>0</v>
      </c>
      <c r="D20" s="15">
        <v>0</v>
      </c>
      <c r="E20" s="15">
        <v>311</v>
      </c>
      <c r="F20" s="15">
        <f t="shared" si="0"/>
        <v>0</v>
      </c>
      <c r="G20" s="512">
        <f>'AT3A_cvrg(Insti)_PY'!J20</f>
        <v>0</v>
      </c>
      <c r="H20" s="512">
        <f>'enrolment vs availed_UPY'!O20</f>
        <v>0</v>
      </c>
      <c r="I20" s="512">
        <v>291</v>
      </c>
      <c r="J20" s="512">
        <f t="shared" si="1"/>
        <v>0</v>
      </c>
      <c r="L20" s="17"/>
      <c r="M20" s="17"/>
      <c r="N20" s="17"/>
      <c r="O20" s="17"/>
    </row>
    <row r="21" spans="1:15" ht="12.75">
      <c r="A21" s="14">
        <v>11</v>
      </c>
      <c r="B21" s="224" t="s">
        <v>841</v>
      </c>
      <c r="C21" s="15">
        <v>25</v>
      </c>
      <c r="D21" s="15">
        <v>910</v>
      </c>
      <c r="E21" s="15">
        <v>311</v>
      </c>
      <c r="F21" s="15">
        <f t="shared" si="0"/>
        <v>283010</v>
      </c>
      <c r="G21" s="512">
        <f>'AT3A_cvrg(Insti)_PY'!J21</f>
        <v>25</v>
      </c>
      <c r="H21" s="512">
        <f>'enrolment vs availed_UPY'!O21</f>
        <v>189539</v>
      </c>
      <c r="I21" s="512">
        <v>291</v>
      </c>
      <c r="J21" s="512">
        <f t="shared" si="1"/>
        <v>651.3367697594501</v>
      </c>
      <c r="L21" s="17"/>
      <c r="M21" s="17"/>
      <c r="N21" s="17"/>
      <c r="O21" s="17"/>
    </row>
    <row r="22" spans="1:15" ht="12.75">
      <c r="A22" s="14">
        <v>12</v>
      </c>
      <c r="B22" s="224" t="s">
        <v>842</v>
      </c>
      <c r="C22" s="15">
        <v>12</v>
      </c>
      <c r="D22" s="15">
        <v>541</v>
      </c>
      <c r="E22" s="15">
        <v>311</v>
      </c>
      <c r="F22" s="15">
        <f t="shared" si="0"/>
        <v>168251</v>
      </c>
      <c r="G22" s="512">
        <f>'AT3A_cvrg(Insti)_PY'!J22</f>
        <v>12</v>
      </c>
      <c r="H22" s="512">
        <f>'enrolment vs availed_UPY'!O22</f>
        <v>32765</v>
      </c>
      <c r="I22" s="512">
        <v>291</v>
      </c>
      <c r="J22" s="512">
        <f t="shared" si="1"/>
        <v>112.59450171821305</v>
      </c>
      <c r="L22" s="17"/>
      <c r="M22" s="17"/>
      <c r="N22" s="17"/>
      <c r="O22" s="17"/>
    </row>
    <row r="23" spans="1:15" ht="12.75">
      <c r="A23" s="14">
        <v>13</v>
      </c>
      <c r="B23" s="224" t="s">
        <v>843</v>
      </c>
      <c r="C23" s="15">
        <v>0</v>
      </c>
      <c r="D23" s="15">
        <v>0</v>
      </c>
      <c r="E23" s="15">
        <v>311</v>
      </c>
      <c r="F23" s="15">
        <f t="shared" si="0"/>
        <v>0</v>
      </c>
      <c r="G23" s="512">
        <f>'AT3A_cvrg(Insti)_PY'!J23</f>
        <v>0</v>
      </c>
      <c r="H23" s="512">
        <f>'enrolment vs availed_UPY'!O23</f>
        <v>0</v>
      </c>
      <c r="I23" s="512">
        <v>291</v>
      </c>
      <c r="J23" s="512">
        <f t="shared" si="1"/>
        <v>0</v>
      </c>
      <c r="L23" s="17"/>
      <c r="M23" s="17"/>
      <c r="N23" s="17"/>
      <c r="O23" s="17"/>
    </row>
    <row r="24" spans="1:10" ht="12.75">
      <c r="A24" s="14">
        <v>14</v>
      </c>
      <c r="B24" s="224" t="s">
        <v>844</v>
      </c>
      <c r="C24" s="15">
        <v>0</v>
      </c>
      <c r="D24" s="15">
        <v>0</v>
      </c>
      <c r="E24" s="15">
        <v>311</v>
      </c>
      <c r="F24" s="15">
        <f t="shared" si="0"/>
        <v>0</v>
      </c>
      <c r="G24" s="512">
        <f>'AT3A_cvrg(Insti)_PY'!J24</f>
        <v>0</v>
      </c>
      <c r="H24" s="512">
        <f>'enrolment vs availed_UPY'!O24</f>
        <v>0</v>
      </c>
      <c r="I24" s="512">
        <v>291</v>
      </c>
      <c r="J24" s="512">
        <f t="shared" si="1"/>
        <v>0</v>
      </c>
    </row>
    <row r="25" spans="1:10" ht="12.75">
      <c r="A25" s="14">
        <v>15</v>
      </c>
      <c r="B25" s="224" t="s">
        <v>845</v>
      </c>
      <c r="C25" s="15">
        <v>0</v>
      </c>
      <c r="D25" s="15">
        <v>0</v>
      </c>
      <c r="E25" s="15">
        <v>311</v>
      </c>
      <c r="F25" s="15">
        <f t="shared" si="0"/>
        <v>0</v>
      </c>
      <c r="G25" s="512">
        <f>'AT3A_cvrg(Insti)_PY'!J25</f>
        <v>0</v>
      </c>
      <c r="H25" s="512">
        <f>'enrolment vs availed_UPY'!O25</f>
        <v>0</v>
      </c>
      <c r="I25" s="512">
        <v>291</v>
      </c>
      <c r="J25" s="512">
        <f t="shared" si="1"/>
        <v>0</v>
      </c>
    </row>
    <row r="26" spans="1:10" ht="12.75">
      <c r="A26" s="14">
        <v>16</v>
      </c>
      <c r="B26" s="224" t="s">
        <v>846</v>
      </c>
      <c r="C26" s="15">
        <v>0</v>
      </c>
      <c r="D26" s="15">
        <v>0</v>
      </c>
      <c r="E26" s="15">
        <v>311</v>
      </c>
      <c r="F26" s="15">
        <f t="shared" si="0"/>
        <v>0</v>
      </c>
      <c r="G26" s="512">
        <f>'AT3A_cvrg(Insti)_PY'!J26</f>
        <v>0</v>
      </c>
      <c r="H26" s="512">
        <f>'enrolment vs availed_UPY'!O26</f>
        <v>0</v>
      </c>
      <c r="I26" s="512">
        <v>291</v>
      </c>
      <c r="J26" s="512">
        <f t="shared" si="1"/>
        <v>0</v>
      </c>
    </row>
    <row r="27" spans="1:10" ht="12.75">
      <c r="A27" s="14">
        <v>17</v>
      </c>
      <c r="B27" s="224" t="s">
        <v>847</v>
      </c>
      <c r="C27" s="15">
        <v>0</v>
      </c>
      <c r="D27" s="15">
        <v>0</v>
      </c>
      <c r="E27" s="15">
        <v>311</v>
      </c>
      <c r="F27" s="15">
        <f t="shared" si="0"/>
        <v>0</v>
      </c>
      <c r="G27" s="512">
        <f>'AT3A_cvrg(Insti)_PY'!J27</f>
        <v>0</v>
      </c>
      <c r="H27" s="512">
        <f>'enrolment vs availed_UPY'!O27</f>
        <v>0</v>
      </c>
      <c r="I27" s="512">
        <v>291</v>
      </c>
      <c r="J27" s="512">
        <f t="shared" si="1"/>
        <v>0</v>
      </c>
    </row>
    <row r="28" spans="1:10" ht="12.75">
      <c r="A28" s="14">
        <v>18</v>
      </c>
      <c r="B28" s="224" t="s">
        <v>848</v>
      </c>
      <c r="C28" s="15">
        <v>0</v>
      </c>
      <c r="D28" s="15">
        <v>0</v>
      </c>
      <c r="E28" s="15">
        <v>311</v>
      </c>
      <c r="F28" s="15">
        <f t="shared" si="0"/>
        <v>0</v>
      </c>
      <c r="G28" s="512">
        <f>'AT3A_cvrg(Insti)_PY'!J28</f>
        <v>0</v>
      </c>
      <c r="H28" s="512">
        <f>'enrolment vs availed_UPY'!O28</f>
        <v>0</v>
      </c>
      <c r="I28" s="512">
        <v>291</v>
      </c>
      <c r="J28" s="512">
        <f t="shared" si="1"/>
        <v>0</v>
      </c>
    </row>
    <row r="29" spans="1:10" ht="12.75">
      <c r="A29" s="14">
        <v>19</v>
      </c>
      <c r="B29" s="224" t="s">
        <v>849</v>
      </c>
      <c r="C29" s="15">
        <v>26</v>
      </c>
      <c r="D29" s="15">
        <v>829</v>
      </c>
      <c r="E29" s="15">
        <v>311</v>
      </c>
      <c r="F29" s="15">
        <f t="shared" si="0"/>
        <v>257819</v>
      </c>
      <c r="G29" s="512">
        <f>'AT3A_cvrg(Insti)_PY'!J29</f>
        <v>26</v>
      </c>
      <c r="H29" s="512">
        <f>'enrolment vs availed_UPY'!O29</f>
        <v>176643</v>
      </c>
      <c r="I29" s="512">
        <v>291</v>
      </c>
      <c r="J29" s="512">
        <f t="shared" si="1"/>
        <v>607.020618556701</v>
      </c>
    </row>
    <row r="30" spans="1:10" ht="12.75">
      <c r="A30" s="14">
        <v>20</v>
      </c>
      <c r="B30" s="224" t="s">
        <v>850</v>
      </c>
      <c r="C30" s="15">
        <v>0</v>
      </c>
      <c r="D30" s="15">
        <v>0</v>
      </c>
      <c r="E30" s="15">
        <v>311</v>
      </c>
      <c r="F30" s="15">
        <f t="shared" si="0"/>
        <v>0</v>
      </c>
      <c r="G30" s="512">
        <f>'AT3A_cvrg(Insti)_PY'!J30</f>
        <v>0</v>
      </c>
      <c r="H30" s="512">
        <f>'enrolment vs availed_UPY'!O30</f>
        <v>0</v>
      </c>
      <c r="I30" s="512">
        <v>291</v>
      </c>
      <c r="J30" s="512">
        <f t="shared" si="1"/>
        <v>0</v>
      </c>
    </row>
    <row r="31" spans="1:10" ht="12.75">
      <c r="A31" s="14">
        <v>21</v>
      </c>
      <c r="B31" s="224" t="s">
        <v>851</v>
      </c>
      <c r="C31" s="15">
        <v>51</v>
      </c>
      <c r="D31" s="15">
        <v>2550</v>
      </c>
      <c r="E31" s="15">
        <v>311</v>
      </c>
      <c r="F31" s="15">
        <f t="shared" si="0"/>
        <v>793050</v>
      </c>
      <c r="G31" s="512">
        <f>'AT3A_cvrg(Insti)_PY'!J31</f>
        <v>7</v>
      </c>
      <c r="H31" s="512">
        <f>'enrolment vs availed_UPY'!O31</f>
        <v>118220</v>
      </c>
      <c r="I31" s="512">
        <v>291</v>
      </c>
      <c r="J31" s="512">
        <f t="shared" si="1"/>
        <v>406.25429553264604</v>
      </c>
    </row>
    <row r="32" spans="1:10" ht="12.75">
      <c r="A32" s="14">
        <v>22</v>
      </c>
      <c r="B32" s="224" t="s">
        <v>852</v>
      </c>
      <c r="C32" s="15">
        <v>19</v>
      </c>
      <c r="D32" s="15">
        <v>950</v>
      </c>
      <c r="E32" s="15">
        <v>311</v>
      </c>
      <c r="F32" s="15">
        <f t="shared" si="0"/>
        <v>295450</v>
      </c>
      <c r="G32" s="512">
        <f>'AT3A_cvrg(Insti)_PY'!J32</f>
        <v>19</v>
      </c>
      <c r="H32" s="512">
        <f>'enrolment vs availed_UPY'!O32</f>
        <v>50690</v>
      </c>
      <c r="I32" s="512">
        <v>291</v>
      </c>
      <c r="J32" s="512">
        <f t="shared" si="1"/>
        <v>174.19243986254295</v>
      </c>
    </row>
    <row r="33" spans="1:10" ht="12.75">
      <c r="A33" s="14">
        <v>23</v>
      </c>
      <c r="B33" s="224" t="s">
        <v>853</v>
      </c>
      <c r="C33" s="15">
        <v>0</v>
      </c>
      <c r="D33" s="15">
        <v>0</v>
      </c>
      <c r="E33" s="15">
        <v>311</v>
      </c>
      <c r="F33" s="15">
        <f t="shared" si="0"/>
        <v>0</v>
      </c>
      <c r="G33" s="512">
        <f>'AT3A_cvrg(Insti)_PY'!J33</f>
        <v>0</v>
      </c>
      <c r="H33" s="512">
        <f>'enrolment vs availed_UPY'!O33</f>
        <v>0</v>
      </c>
      <c r="I33" s="512">
        <v>291</v>
      </c>
      <c r="J33" s="512">
        <f t="shared" si="1"/>
        <v>0</v>
      </c>
    </row>
    <row r="34" spans="1:10" ht="12.75">
      <c r="A34" s="14">
        <v>24</v>
      </c>
      <c r="B34" s="224" t="s">
        <v>854</v>
      </c>
      <c r="C34" s="15">
        <v>0</v>
      </c>
      <c r="D34" s="15">
        <v>0</v>
      </c>
      <c r="E34" s="15">
        <v>311</v>
      </c>
      <c r="F34" s="15">
        <f t="shared" si="0"/>
        <v>0</v>
      </c>
      <c r="G34" s="512">
        <f>'AT3A_cvrg(Insti)_PY'!J34</f>
        <v>0</v>
      </c>
      <c r="H34" s="512">
        <f>'enrolment vs availed_UPY'!O34</f>
        <v>0</v>
      </c>
      <c r="I34" s="512">
        <v>291</v>
      </c>
      <c r="J34" s="512">
        <f t="shared" si="1"/>
        <v>0</v>
      </c>
    </row>
    <row r="35" spans="1:10" s="11" customFormat="1" ht="12.75">
      <c r="A35" s="560" t="s">
        <v>13</v>
      </c>
      <c r="B35" s="561"/>
      <c r="C35" s="23">
        <f>SUM(C11:C34)</f>
        <v>194</v>
      </c>
      <c r="D35" s="23">
        <f>SUM(D11:D34)</f>
        <v>7309</v>
      </c>
      <c r="E35" s="23">
        <v>311</v>
      </c>
      <c r="F35" s="23">
        <f t="shared" si="0"/>
        <v>2273099</v>
      </c>
      <c r="G35" s="226">
        <f>SUM(G11:G34)</f>
        <v>148</v>
      </c>
      <c r="H35" s="226">
        <f>SUM(H11:H34)</f>
        <v>923426</v>
      </c>
      <c r="I35" s="226"/>
      <c r="J35" s="226">
        <f>SUM(J11:J34)</f>
        <v>3173.2852233676977</v>
      </c>
    </row>
    <row r="36" spans="1:10" ht="12.75">
      <c r="A36" s="9"/>
      <c r="B36" s="24"/>
      <c r="C36" s="24"/>
      <c r="D36" s="17"/>
      <c r="E36" s="17"/>
      <c r="F36" s="17"/>
      <c r="G36" s="17"/>
      <c r="H36" s="17"/>
      <c r="I36" s="17"/>
      <c r="J36" s="17"/>
    </row>
    <row r="37" spans="1:10" ht="12.75">
      <c r="A37" s="9"/>
      <c r="B37" s="24"/>
      <c r="C37" s="24"/>
      <c r="D37" s="17"/>
      <c r="E37" s="17"/>
      <c r="F37" s="17"/>
      <c r="G37" s="17"/>
      <c r="H37" s="17"/>
      <c r="I37" s="17"/>
      <c r="J37" s="17"/>
    </row>
    <row r="38" spans="1:10" ht="12.75">
      <c r="A38" s="9"/>
      <c r="B38" s="24"/>
      <c r="C38" s="24"/>
      <c r="D38" s="17"/>
      <c r="E38" s="17"/>
      <c r="F38" s="17"/>
      <c r="G38" s="17"/>
      <c r="H38" s="17"/>
      <c r="I38" s="17"/>
      <c r="J38" s="17"/>
    </row>
    <row r="39" spans="1:10" ht="15.75" customHeight="1">
      <c r="A39" s="11"/>
      <c r="B39" s="11"/>
      <c r="C39" s="11"/>
      <c r="D39" s="11"/>
      <c r="E39" s="11"/>
      <c r="F39" s="11"/>
      <c r="G39" s="11"/>
      <c r="I39" s="68"/>
      <c r="J39" s="68"/>
    </row>
    <row r="40" spans="1:10" ht="12.75" customHeight="1">
      <c r="A40" s="559" t="s">
        <v>989</v>
      </c>
      <c r="B40" s="559"/>
      <c r="C40" s="559"/>
      <c r="E40" s="559" t="s">
        <v>990</v>
      </c>
      <c r="F40" s="559"/>
      <c r="G40" s="359"/>
      <c r="H40" s="559" t="s">
        <v>996</v>
      </c>
      <c r="I40" s="559"/>
      <c r="J40" s="559"/>
    </row>
    <row r="41" spans="1:10" ht="12.75" customHeight="1">
      <c r="A41" s="559" t="s">
        <v>991</v>
      </c>
      <c r="B41" s="559"/>
      <c r="C41" s="559"/>
      <c r="E41" s="559" t="s">
        <v>992</v>
      </c>
      <c r="F41" s="559"/>
      <c r="G41" s="359"/>
      <c r="H41" s="559" t="s">
        <v>993</v>
      </c>
      <c r="I41" s="559"/>
      <c r="J41" s="559"/>
    </row>
    <row r="42" spans="1:10" ht="12.75">
      <c r="A42" s="559" t="s">
        <v>994</v>
      </c>
      <c r="B42" s="559"/>
      <c r="C42" s="559"/>
      <c r="E42" s="559" t="s">
        <v>995</v>
      </c>
      <c r="F42" s="559"/>
      <c r="G42" s="359"/>
      <c r="H42" s="559" t="s">
        <v>995</v>
      </c>
      <c r="I42" s="559"/>
      <c r="J42" s="559"/>
    </row>
    <row r="46" spans="1:10" ht="12.75">
      <c r="A46" s="694"/>
      <c r="B46" s="694"/>
      <c r="C46" s="694"/>
      <c r="D46" s="694"/>
      <c r="E46" s="694"/>
      <c r="F46" s="694"/>
      <c r="G46" s="694"/>
      <c r="H46" s="694"/>
      <c r="I46" s="694"/>
      <c r="J46" s="694"/>
    </row>
    <row r="48" spans="1:10" ht="12.75">
      <c r="A48" s="694"/>
      <c r="B48" s="694"/>
      <c r="C48" s="694"/>
      <c r="D48" s="694"/>
      <c r="E48" s="694"/>
      <c r="F48" s="694"/>
      <c r="G48" s="694"/>
      <c r="H48" s="694"/>
      <c r="I48" s="694"/>
      <c r="J48" s="694"/>
    </row>
  </sheetData>
  <sheetProtection/>
  <mergeCells count="22">
    <mergeCell ref="E1:I1"/>
    <mergeCell ref="A2:J2"/>
    <mergeCell ref="A3:J3"/>
    <mergeCell ref="A5:J5"/>
    <mergeCell ref="A7:B7"/>
    <mergeCell ref="H7:J7"/>
    <mergeCell ref="A48:J48"/>
    <mergeCell ref="A8:A9"/>
    <mergeCell ref="B8:B9"/>
    <mergeCell ref="C8:F8"/>
    <mergeCell ref="G8:J8"/>
    <mergeCell ref="A40:C40"/>
    <mergeCell ref="E40:F40"/>
    <mergeCell ref="H40:J40"/>
    <mergeCell ref="A41:C41"/>
    <mergeCell ref="A35:B35"/>
    <mergeCell ref="E41:F41"/>
    <mergeCell ref="H41:J41"/>
    <mergeCell ref="A42:C42"/>
    <mergeCell ref="E42:F42"/>
    <mergeCell ref="H42:J42"/>
    <mergeCell ref="A46:J4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P48"/>
  <sheetViews>
    <sheetView view="pageBreakPreview" zoomScale="70" zoomScaleSheetLayoutView="70" zoomScalePageLayoutView="0" workbookViewId="0" topLeftCell="A1">
      <selection activeCell="P52" sqref="P52"/>
    </sheetView>
  </sheetViews>
  <sheetFormatPr defaultColWidth="9.140625" defaultRowHeight="12.75"/>
  <cols>
    <col min="1" max="1" width="7.421875" style="12" customWidth="1"/>
    <col min="2" max="2" width="17.140625" style="12" customWidth="1"/>
    <col min="3" max="6" width="14.003906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594"/>
      <c r="F1" s="594"/>
      <c r="G1" s="594"/>
      <c r="H1" s="594"/>
      <c r="I1" s="594"/>
      <c r="J1" s="104" t="s">
        <v>363</v>
      </c>
    </row>
    <row r="2" spans="1:10" ht="15">
      <c r="A2" s="684" t="s">
        <v>0</v>
      </c>
      <c r="B2" s="684"/>
      <c r="C2" s="684"/>
      <c r="D2" s="684"/>
      <c r="E2" s="684"/>
      <c r="F2" s="684"/>
      <c r="G2" s="684"/>
      <c r="H2" s="684"/>
      <c r="I2" s="684"/>
      <c r="J2" s="684"/>
    </row>
    <row r="3" spans="1:10" ht="20.25">
      <c r="A3" s="591" t="s">
        <v>645</v>
      </c>
      <c r="B3" s="591"/>
      <c r="C3" s="591"/>
      <c r="D3" s="591"/>
      <c r="E3" s="591"/>
      <c r="F3" s="591"/>
      <c r="G3" s="591"/>
      <c r="H3" s="591"/>
      <c r="I3" s="591"/>
      <c r="J3" s="591"/>
    </row>
    <row r="4" ht="14.25" customHeight="1"/>
    <row r="5" spans="1:10" ht="15.75">
      <c r="A5" s="691" t="s">
        <v>663</v>
      </c>
      <c r="B5" s="691"/>
      <c r="C5" s="691"/>
      <c r="D5" s="691"/>
      <c r="E5" s="691"/>
      <c r="F5" s="691"/>
      <c r="G5" s="691"/>
      <c r="H5" s="691"/>
      <c r="I5" s="691"/>
      <c r="J5" s="691"/>
    </row>
    <row r="6" spans="1:10" ht="13.5" customHeight="1">
      <c r="A6" s="1"/>
      <c r="B6" s="1"/>
      <c r="C6" s="1"/>
      <c r="D6" s="1"/>
      <c r="E6" s="1"/>
      <c r="F6" s="1"/>
      <c r="G6" s="1"/>
      <c r="H6" s="1"/>
      <c r="I6" s="1"/>
      <c r="J6" s="1"/>
    </row>
    <row r="7" spans="1:10" ht="12.75">
      <c r="A7" s="593" t="s">
        <v>956</v>
      </c>
      <c r="B7" s="593"/>
      <c r="C7" s="25"/>
      <c r="H7" s="689" t="s">
        <v>959</v>
      </c>
      <c r="I7" s="689"/>
      <c r="J7" s="689"/>
    </row>
    <row r="8" spans="1:16" ht="12.75">
      <c r="A8" s="573" t="s">
        <v>1</v>
      </c>
      <c r="B8" s="573" t="s">
        <v>2</v>
      </c>
      <c r="C8" s="560" t="s">
        <v>660</v>
      </c>
      <c r="D8" s="688"/>
      <c r="E8" s="688"/>
      <c r="F8" s="561"/>
      <c r="G8" s="560" t="s">
        <v>96</v>
      </c>
      <c r="H8" s="688"/>
      <c r="I8" s="688"/>
      <c r="J8" s="561"/>
      <c r="O8" s="15"/>
      <c r="P8" s="17"/>
    </row>
    <row r="9" spans="1:10" ht="53.25" customHeight="1">
      <c r="A9" s="573"/>
      <c r="B9" s="573"/>
      <c r="C9" s="5" t="s">
        <v>181</v>
      </c>
      <c r="D9" s="5" t="s">
        <v>11</v>
      </c>
      <c r="E9" s="175" t="s">
        <v>1012</v>
      </c>
      <c r="F9" s="7" t="s">
        <v>199</v>
      </c>
      <c r="G9" s="5" t="s">
        <v>181</v>
      </c>
      <c r="H9" s="21" t="s">
        <v>12</v>
      </c>
      <c r="I9" s="82" t="s">
        <v>106</v>
      </c>
      <c r="J9" s="5" t="s">
        <v>200</v>
      </c>
    </row>
    <row r="10" spans="1:10" ht="12.75">
      <c r="A10" s="5">
        <v>1</v>
      </c>
      <c r="B10" s="5">
        <v>2</v>
      </c>
      <c r="C10" s="5">
        <v>3</v>
      </c>
      <c r="D10" s="5">
        <v>4</v>
      </c>
      <c r="E10" s="5">
        <v>5</v>
      </c>
      <c r="F10" s="7">
        <v>6</v>
      </c>
      <c r="G10" s="5">
        <v>7</v>
      </c>
      <c r="H10" s="80">
        <v>8</v>
      </c>
      <c r="I10" s="5">
        <v>9</v>
      </c>
      <c r="J10" s="5">
        <v>10</v>
      </c>
    </row>
    <row r="11" spans="1:10" ht="12.75">
      <c r="A11" s="14">
        <v>1</v>
      </c>
      <c r="B11" s="224" t="s">
        <v>831</v>
      </c>
      <c r="C11" s="695" t="s">
        <v>856</v>
      </c>
      <c r="D11" s="696"/>
      <c r="E11" s="696"/>
      <c r="F11" s="696"/>
      <c r="G11" s="696"/>
      <c r="H11" s="696"/>
      <c r="I11" s="696"/>
      <c r="J11" s="697"/>
    </row>
    <row r="12" spans="1:10" ht="12.75">
      <c r="A12" s="14">
        <v>2</v>
      </c>
      <c r="B12" s="224" t="s">
        <v>832</v>
      </c>
      <c r="C12" s="698"/>
      <c r="D12" s="699"/>
      <c r="E12" s="699"/>
      <c r="F12" s="699"/>
      <c r="G12" s="699"/>
      <c r="H12" s="699"/>
      <c r="I12" s="699"/>
      <c r="J12" s="700"/>
    </row>
    <row r="13" spans="1:10" ht="12.75">
      <c r="A13" s="14">
        <v>3</v>
      </c>
      <c r="B13" s="224" t="s">
        <v>833</v>
      </c>
      <c r="C13" s="698"/>
      <c r="D13" s="699"/>
      <c r="E13" s="699"/>
      <c r="F13" s="699"/>
      <c r="G13" s="699"/>
      <c r="H13" s="699"/>
      <c r="I13" s="699"/>
      <c r="J13" s="700"/>
    </row>
    <row r="14" spans="1:10" ht="12.75">
      <c r="A14" s="14">
        <v>4</v>
      </c>
      <c r="B14" s="224" t="s">
        <v>834</v>
      </c>
      <c r="C14" s="698"/>
      <c r="D14" s="699"/>
      <c r="E14" s="699"/>
      <c r="F14" s="699"/>
      <c r="G14" s="699"/>
      <c r="H14" s="699"/>
      <c r="I14" s="699"/>
      <c r="J14" s="700"/>
    </row>
    <row r="15" spans="1:10" ht="12.75">
      <c r="A15" s="14">
        <v>5</v>
      </c>
      <c r="B15" s="224" t="s">
        <v>835</v>
      </c>
      <c r="C15" s="698"/>
      <c r="D15" s="699"/>
      <c r="E15" s="699"/>
      <c r="F15" s="699"/>
      <c r="G15" s="699"/>
      <c r="H15" s="699"/>
      <c r="I15" s="699"/>
      <c r="J15" s="700"/>
    </row>
    <row r="16" spans="1:10" ht="12.75">
      <c r="A16" s="14">
        <v>6</v>
      </c>
      <c r="B16" s="224" t="s">
        <v>836</v>
      </c>
      <c r="C16" s="698"/>
      <c r="D16" s="699"/>
      <c r="E16" s="699"/>
      <c r="F16" s="699"/>
      <c r="G16" s="699"/>
      <c r="H16" s="699"/>
      <c r="I16" s="699"/>
      <c r="J16" s="700"/>
    </row>
    <row r="17" spans="1:10" ht="12.75">
      <c r="A17" s="14">
        <v>7</v>
      </c>
      <c r="B17" s="224" t="s">
        <v>837</v>
      </c>
      <c r="C17" s="698"/>
      <c r="D17" s="699"/>
      <c r="E17" s="699"/>
      <c r="F17" s="699"/>
      <c r="G17" s="699"/>
      <c r="H17" s="699"/>
      <c r="I17" s="699"/>
      <c r="J17" s="700"/>
    </row>
    <row r="18" spans="1:10" ht="12.75">
      <c r="A18" s="14">
        <v>8</v>
      </c>
      <c r="B18" s="224" t="s">
        <v>838</v>
      </c>
      <c r="C18" s="698"/>
      <c r="D18" s="699"/>
      <c r="E18" s="699"/>
      <c r="F18" s="699"/>
      <c r="G18" s="699"/>
      <c r="H18" s="699"/>
      <c r="I18" s="699"/>
      <c r="J18" s="700"/>
    </row>
    <row r="19" spans="1:10" ht="12.75">
      <c r="A19" s="14">
        <v>9</v>
      </c>
      <c r="B19" s="224" t="s">
        <v>839</v>
      </c>
      <c r="C19" s="698"/>
      <c r="D19" s="699"/>
      <c r="E19" s="699"/>
      <c r="F19" s="699"/>
      <c r="G19" s="699"/>
      <c r="H19" s="699"/>
      <c r="I19" s="699"/>
      <c r="J19" s="700"/>
    </row>
    <row r="20" spans="1:10" ht="12.75">
      <c r="A20" s="14">
        <v>10</v>
      </c>
      <c r="B20" s="224" t="s">
        <v>840</v>
      </c>
      <c r="C20" s="698"/>
      <c r="D20" s="699"/>
      <c r="E20" s="699"/>
      <c r="F20" s="699"/>
      <c r="G20" s="699"/>
      <c r="H20" s="699"/>
      <c r="I20" s="699"/>
      <c r="J20" s="700"/>
    </row>
    <row r="21" spans="1:10" ht="12.75">
      <c r="A21" s="14">
        <v>11</v>
      </c>
      <c r="B21" s="224" t="s">
        <v>841</v>
      </c>
      <c r="C21" s="698"/>
      <c r="D21" s="699"/>
      <c r="E21" s="699"/>
      <c r="F21" s="699"/>
      <c r="G21" s="699"/>
      <c r="H21" s="699"/>
      <c r="I21" s="699"/>
      <c r="J21" s="700"/>
    </row>
    <row r="22" spans="1:10" ht="12.75">
      <c r="A22" s="14">
        <v>12</v>
      </c>
      <c r="B22" s="224" t="s">
        <v>842</v>
      </c>
      <c r="C22" s="698"/>
      <c r="D22" s="699"/>
      <c r="E22" s="699"/>
      <c r="F22" s="699"/>
      <c r="G22" s="699"/>
      <c r="H22" s="699"/>
      <c r="I22" s="699"/>
      <c r="J22" s="700"/>
    </row>
    <row r="23" spans="1:10" ht="12.75">
      <c r="A23" s="14">
        <v>13</v>
      </c>
      <c r="B23" s="224" t="s">
        <v>843</v>
      </c>
      <c r="C23" s="698"/>
      <c r="D23" s="699"/>
      <c r="E23" s="699"/>
      <c r="F23" s="699"/>
      <c r="G23" s="699"/>
      <c r="H23" s="699"/>
      <c r="I23" s="699"/>
      <c r="J23" s="700"/>
    </row>
    <row r="24" spans="1:10" ht="12.75">
      <c r="A24" s="14">
        <v>14</v>
      </c>
      <c r="B24" s="224" t="s">
        <v>844</v>
      </c>
      <c r="C24" s="698"/>
      <c r="D24" s="699"/>
      <c r="E24" s="699"/>
      <c r="F24" s="699"/>
      <c r="G24" s="699"/>
      <c r="H24" s="699"/>
      <c r="I24" s="699"/>
      <c r="J24" s="700"/>
    </row>
    <row r="25" spans="1:10" ht="12.75">
      <c r="A25" s="14">
        <v>15</v>
      </c>
      <c r="B25" s="224" t="s">
        <v>845</v>
      </c>
      <c r="C25" s="698"/>
      <c r="D25" s="699"/>
      <c r="E25" s="699"/>
      <c r="F25" s="699"/>
      <c r="G25" s="699"/>
      <c r="H25" s="699"/>
      <c r="I25" s="699"/>
      <c r="J25" s="700"/>
    </row>
    <row r="26" spans="1:10" ht="12.75">
      <c r="A26" s="14">
        <v>16</v>
      </c>
      <c r="B26" s="224" t="s">
        <v>846</v>
      </c>
      <c r="C26" s="698"/>
      <c r="D26" s="699"/>
      <c r="E26" s="699"/>
      <c r="F26" s="699"/>
      <c r="G26" s="699"/>
      <c r="H26" s="699"/>
      <c r="I26" s="699"/>
      <c r="J26" s="700"/>
    </row>
    <row r="27" spans="1:10" ht="12.75">
      <c r="A27" s="14">
        <v>17</v>
      </c>
      <c r="B27" s="224" t="s">
        <v>847</v>
      </c>
      <c r="C27" s="698"/>
      <c r="D27" s="699"/>
      <c r="E27" s="699"/>
      <c r="F27" s="699"/>
      <c r="G27" s="699"/>
      <c r="H27" s="699"/>
      <c r="I27" s="699"/>
      <c r="J27" s="700"/>
    </row>
    <row r="28" spans="1:10" ht="12.75">
      <c r="A28" s="14">
        <v>18</v>
      </c>
      <c r="B28" s="224" t="s">
        <v>848</v>
      </c>
      <c r="C28" s="698"/>
      <c r="D28" s="699"/>
      <c r="E28" s="699"/>
      <c r="F28" s="699"/>
      <c r="G28" s="699"/>
      <c r="H28" s="699"/>
      <c r="I28" s="699"/>
      <c r="J28" s="700"/>
    </row>
    <row r="29" spans="1:10" ht="12.75">
      <c r="A29" s="14">
        <v>19</v>
      </c>
      <c r="B29" s="224" t="s">
        <v>849</v>
      </c>
      <c r="C29" s="698"/>
      <c r="D29" s="699"/>
      <c r="E29" s="699"/>
      <c r="F29" s="699"/>
      <c r="G29" s="699"/>
      <c r="H29" s="699"/>
      <c r="I29" s="699"/>
      <c r="J29" s="700"/>
    </row>
    <row r="30" spans="1:10" ht="12.75">
      <c r="A30" s="14">
        <v>20</v>
      </c>
      <c r="B30" s="224" t="s">
        <v>850</v>
      </c>
      <c r="C30" s="698"/>
      <c r="D30" s="699"/>
      <c r="E30" s="699"/>
      <c r="F30" s="699"/>
      <c r="G30" s="699"/>
      <c r="H30" s="699"/>
      <c r="I30" s="699"/>
      <c r="J30" s="700"/>
    </row>
    <row r="31" spans="1:10" ht="12.75">
      <c r="A31" s="14">
        <v>21</v>
      </c>
      <c r="B31" s="224" t="s">
        <v>851</v>
      </c>
      <c r="C31" s="698"/>
      <c r="D31" s="699"/>
      <c r="E31" s="699"/>
      <c r="F31" s="699"/>
      <c r="G31" s="699"/>
      <c r="H31" s="699"/>
      <c r="I31" s="699"/>
      <c r="J31" s="700"/>
    </row>
    <row r="32" spans="1:10" ht="12.75">
      <c r="A32" s="14">
        <v>22</v>
      </c>
      <c r="B32" s="224" t="s">
        <v>852</v>
      </c>
      <c r="C32" s="698"/>
      <c r="D32" s="699"/>
      <c r="E32" s="699"/>
      <c r="F32" s="699"/>
      <c r="G32" s="699"/>
      <c r="H32" s="699"/>
      <c r="I32" s="699"/>
      <c r="J32" s="700"/>
    </row>
    <row r="33" spans="1:10" ht="12.75">
      <c r="A33" s="14">
        <v>23</v>
      </c>
      <c r="B33" s="224" t="s">
        <v>853</v>
      </c>
      <c r="C33" s="698"/>
      <c r="D33" s="699"/>
      <c r="E33" s="699"/>
      <c r="F33" s="699"/>
      <c r="G33" s="699"/>
      <c r="H33" s="699"/>
      <c r="I33" s="699"/>
      <c r="J33" s="700"/>
    </row>
    <row r="34" spans="1:10" ht="12.75">
      <c r="A34" s="14">
        <v>24</v>
      </c>
      <c r="B34" s="224" t="s">
        <v>854</v>
      </c>
      <c r="C34" s="698"/>
      <c r="D34" s="699"/>
      <c r="E34" s="699"/>
      <c r="F34" s="699"/>
      <c r="G34" s="699"/>
      <c r="H34" s="699"/>
      <c r="I34" s="699"/>
      <c r="J34" s="700"/>
    </row>
    <row r="35" spans="1:10" ht="12.75">
      <c r="A35" s="560" t="s">
        <v>13</v>
      </c>
      <c r="B35" s="561"/>
      <c r="C35" s="701"/>
      <c r="D35" s="702"/>
      <c r="E35" s="702"/>
      <c r="F35" s="702"/>
      <c r="G35" s="702"/>
      <c r="H35" s="702"/>
      <c r="I35" s="702"/>
      <c r="J35" s="703"/>
    </row>
    <row r="36" spans="1:10" ht="12.75">
      <c r="A36" s="9"/>
      <c r="B36" s="24"/>
      <c r="C36" s="24"/>
      <c r="D36" s="17"/>
      <c r="E36" s="17"/>
      <c r="F36" s="17"/>
      <c r="G36" s="17"/>
      <c r="H36" s="17"/>
      <c r="I36" s="17"/>
      <c r="J36" s="17"/>
    </row>
    <row r="37" spans="1:10" ht="12.75">
      <c r="A37" s="9"/>
      <c r="B37" s="24"/>
      <c r="C37" s="24"/>
      <c r="D37" s="17"/>
      <c r="E37" s="17"/>
      <c r="F37" s="17"/>
      <c r="G37" s="17"/>
      <c r="H37" s="17"/>
      <c r="I37" s="17"/>
      <c r="J37" s="17"/>
    </row>
    <row r="38" spans="1:10" ht="12.75">
      <c r="A38" s="9"/>
      <c r="B38" s="24"/>
      <c r="C38" s="24"/>
      <c r="D38" s="17"/>
      <c r="E38" s="17"/>
      <c r="F38" s="17"/>
      <c r="G38" s="17"/>
      <c r="H38" s="17"/>
      <c r="I38" s="17"/>
      <c r="J38" s="17"/>
    </row>
    <row r="39" spans="1:10" ht="15.75" customHeight="1">
      <c r="A39" s="11"/>
      <c r="B39" s="11"/>
      <c r="C39" s="11"/>
      <c r="D39" s="11"/>
      <c r="E39" s="11"/>
      <c r="F39" s="11"/>
      <c r="G39" s="11"/>
      <c r="I39" s="68"/>
      <c r="J39" s="68"/>
    </row>
    <row r="40" spans="1:10" ht="12.75" customHeight="1">
      <c r="A40" s="559" t="s">
        <v>989</v>
      </c>
      <c r="B40" s="559"/>
      <c r="C40" s="559"/>
      <c r="E40" s="559" t="s">
        <v>990</v>
      </c>
      <c r="F40" s="559"/>
      <c r="G40" s="359"/>
      <c r="H40" s="559" t="s">
        <v>996</v>
      </c>
      <c r="I40" s="559"/>
      <c r="J40" s="559"/>
    </row>
    <row r="41" spans="1:10" ht="12.75" customHeight="1">
      <c r="A41" s="559" t="s">
        <v>991</v>
      </c>
      <c r="B41" s="559"/>
      <c r="C41" s="559"/>
      <c r="E41" s="559" t="s">
        <v>992</v>
      </c>
      <c r="F41" s="559"/>
      <c r="G41" s="359"/>
      <c r="H41" s="559" t="s">
        <v>993</v>
      </c>
      <c r="I41" s="559"/>
      <c r="J41" s="559"/>
    </row>
    <row r="42" spans="1:10" ht="12.75">
      <c r="A42" s="559" t="s">
        <v>994</v>
      </c>
      <c r="B42" s="559"/>
      <c r="C42" s="559"/>
      <c r="E42" s="559" t="s">
        <v>995</v>
      </c>
      <c r="F42" s="559"/>
      <c r="G42" s="359"/>
      <c r="H42" s="559" t="s">
        <v>995</v>
      </c>
      <c r="I42" s="559"/>
      <c r="J42" s="559"/>
    </row>
    <row r="46" spans="1:10" ht="12.75">
      <c r="A46" s="694"/>
      <c r="B46" s="694"/>
      <c r="C46" s="694"/>
      <c r="D46" s="694"/>
      <c r="E46" s="694"/>
      <c r="F46" s="694"/>
      <c r="G46" s="694"/>
      <c r="H46" s="694"/>
      <c r="I46" s="694"/>
      <c r="J46" s="694"/>
    </row>
    <row r="48" spans="1:10" ht="12.75">
      <c r="A48" s="694"/>
      <c r="B48" s="694"/>
      <c r="C48" s="694"/>
      <c r="D48" s="694"/>
      <c r="E48" s="694"/>
      <c r="F48" s="694"/>
      <c r="G48" s="694"/>
      <c r="H48" s="694"/>
      <c r="I48" s="694"/>
      <c r="J48" s="694"/>
    </row>
  </sheetData>
  <sheetProtection/>
  <mergeCells count="23">
    <mergeCell ref="A46:J46"/>
    <mergeCell ref="A48:J48"/>
    <mergeCell ref="A8:A9"/>
    <mergeCell ref="B8:B9"/>
    <mergeCell ref="C8:F8"/>
    <mergeCell ref="G8:J8"/>
    <mergeCell ref="A40:C40"/>
    <mergeCell ref="E40:F40"/>
    <mergeCell ref="H40:J40"/>
    <mergeCell ref="A41:C41"/>
    <mergeCell ref="E1:I1"/>
    <mergeCell ref="A2:J2"/>
    <mergeCell ref="A3:J3"/>
    <mergeCell ref="A5:J5"/>
    <mergeCell ref="A7:B7"/>
    <mergeCell ref="H7:J7"/>
    <mergeCell ref="E41:F41"/>
    <mergeCell ref="H41:J41"/>
    <mergeCell ref="A42:C42"/>
    <mergeCell ref="E42:F42"/>
    <mergeCell ref="H42:J42"/>
    <mergeCell ref="A35:B35"/>
    <mergeCell ref="C11:J3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P48"/>
  <sheetViews>
    <sheetView view="pageBreakPreview" zoomScale="70" zoomScaleSheetLayoutView="70" zoomScalePageLayoutView="0" workbookViewId="0" topLeftCell="A1">
      <selection activeCell="Q50" sqref="Q50"/>
    </sheetView>
  </sheetViews>
  <sheetFormatPr defaultColWidth="9.140625" defaultRowHeight="12.75"/>
  <cols>
    <col min="1" max="1" width="7.421875" style="12" customWidth="1"/>
    <col min="2" max="2" width="17.140625" style="12" customWidth="1"/>
    <col min="3" max="3" width="11.00390625" style="12" customWidth="1"/>
    <col min="4" max="4" width="11.421875" style="12" customWidth="1"/>
    <col min="5" max="5" width="13.140625" style="12" customWidth="1"/>
    <col min="6" max="6" width="14.281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594"/>
      <c r="F1" s="594"/>
      <c r="G1" s="594"/>
      <c r="H1" s="594"/>
      <c r="I1" s="594"/>
      <c r="J1" s="104" t="s">
        <v>433</v>
      </c>
    </row>
    <row r="2" spans="1:10" ht="15">
      <c r="A2" s="684" t="s">
        <v>0</v>
      </c>
      <c r="B2" s="684"/>
      <c r="C2" s="684"/>
      <c r="D2" s="684"/>
      <c r="E2" s="684"/>
      <c r="F2" s="684"/>
      <c r="G2" s="684"/>
      <c r="H2" s="684"/>
      <c r="I2" s="684"/>
      <c r="J2" s="684"/>
    </row>
    <row r="3" spans="1:10" ht="20.25">
      <c r="A3" s="591" t="s">
        <v>645</v>
      </c>
      <c r="B3" s="591"/>
      <c r="C3" s="591"/>
      <c r="D3" s="591"/>
      <c r="E3" s="591"/>
      <c r="F3" s="591"/>
      <c r="G3" s="591"/>
      <c r="H3" s="591"/>
      <c r="I3" s="591"/>
      <c r="J3" s="591"/>
    </row>
    <row r="4" ht="14.25" customHeight="1"/>
    <row r="5" spans="1:10" ht="15.75">
      <c r="A5" s="691" t="s">
        <v>664</v>
      </c>
      <c r="B5" s="691"/>
      <c r="C5" s="691"/>
      <c r="D5" s="691"/>
      <c r="E5" s="691"/>
      <c r="F5" s="691"/>
      <c r="G5" s="691"/>
      <c r="H5" s="691"/>
      <c r="I5" s="691"/>
      <c r="J5" s="691"/>
    </row>
    <row r="6" spans="1:10" ht="13.5" customHeight="1">
      <c r="A6" s="1"/>
      <c r="B6" s="1"/>
      <c r="C6" s="1"/>
      <c r="D6" s="1"/>
      <c r="E6" s="1"/>
      <c r="F6" s="1"/>
      <c r="G6" s="1"/>
      <c r="H6" s="1"/>
      <c r="I6" s="1"/>
      <c r="J6" s="1"/>
    </row>
    <row r="7" spans="1:10" ht="12.75">
      <c r="A7" s="593" t="s">
        <v>956</v>
      </c>
      <c r="B7" s="593"/>
      <c r="C7" s="25"/>
      <c r="H7" s="689" t="s">
        <v>959</v>
      </c>
      <c r="I7" s="689"/>
      <c r="J7" s="689"/>
    </row>
    <row r="8" spans="1:16" ht="12.75">
      <c r="A8" s="573" t="s">
        <v>1</v>
      </c>
      <c r="B8" s="573" t="s">
        <v>2</v>
      </c>
      <c r="C8" s="560" t="s">
        <v>660</v>
      </c>
      <c r="D8" s="688"/>
      <c r="E8" s="688"/>
      <c r="F8" s="561"/>
      <c r="G8" s="560" t="s">
        <v>96</v>
      </c>
      <c r="H8" s="688"/>
      <c r="I8" s="688"/>
      <c r="J8" s="561"/>
      <c r="O8" s="15"/>
      <c r="P8" s="17"/>
    </row>
    <row r="9" spans="1:10" ht="53.25" customHeight="1">
      <c r="A9" s="573"/>
      <c r="B9" s="573"/>
      <c r="C9" s="5" t="s">
        <v>181</v>
      </c>
      <c r="D9" s="5" t="s">
        <v>11</v>
      </c>
      <c r="E9" s="175" t="s">
        <v>1011</v>
      </c>
      <c r="F9" s="7" t="s">
        <v>199</v>
      </c>
      <c r="G9" s="5" t="s">
        <v>181</v>
      </c>
      <c r="H9" s="21" t="s">
        <v>12</v>
      </c>
      <c r="I9" s="82" t="s">
        <v>106</v>
      </c>
      <c r="J9" s="5" t="s">
        <v>200</v>
      </c>
    </row>
    <row r="10" spans="1:10" ht="12.75">
      <c r="A10" s="5">
        <v>1</v>
      </c>
      <c r="B10" s="5">
        <v>2</v>
      </c>
      <c r="C10" s="5">
        <v>3</v>
      </c>
      <c r="D10" s="5">
        <v>4</v>
      </c>
      <c r="E10" s="5">
        <v>5</v>
      </c>
      <c r="F10" s="7">
        <v>6</v>
      </c>
      <c r="G10" s="5">
        <v>7</v>
      </c>
      <c r="H10" s="80">
        <v>8</v>
      </c>
      <c r="I10" s="5">
        <v>9</v>
      </c>
      <c r="J10" s="5">
        <v>10</v>
      </c>
    </row>
    <row r="11" spans="1:10" ht="12.75">
      <c r="A11" s="14">
        <v>1</v>
      </c>
      <c r="B11" s="224" t="s">
        <v>831</v>
      </c>
      <c r="C11" s="695" t="s">
        <v>857</v>
      </c>
      <c r="D11" s="696"/>
      <c r="E11" s="696"/>
      <c r="F11" s="696"/>
      <c r="G11" s="696"/>
      <c r="H11" s="696"/>
      <c r="I11" s="696"/>
      <c r="J11" s="697"/>
    </row>
    <row r="12" spans="1:10" ht="12.75">
      <c r="A12" s="14">
        <v>2</v>
      </c>
      <c r="B12" s="224" t="s">
        <v>832</v>
      </c>
      <c r="C12" s="698"/>
      <c r="D12" s="699"/>
      <c r="E12" s="699"/>
      <c r="F12" s="699"/>
      <c r="G12" s="699"/>
      <c r="H12" s="699"/>
      <c r="I12" s="699"/>
      <c r="J12" s="700"/>
    </row>
    <row r="13" spans="1:10" ht="12.75">
      <c r="A13" s="14">
        <v>3</v>
      </c>
      <c r="B13" s="224" t="s">
        <v>833</v>
      </c>
      <c r="C13" s="698"/>
      <c r="D13" s="699"/>
      <c r="E13" s="699"/>
      <c r="F13" s="699"/>
      <c r="G13" s="699"/>
      <c r="H13" s="699"/>
      <c r="I13" s="699"/>
      <c r="J13" s="700"/>
    </row>
    <row r="14" spans="1:10" ht="12.75">
      <c r="A14" s="14">
        <v>4</v>
      </c>
      <c r="B14" s="224" t="s">
        <v>834</v>
      </c>
      <c r="C14" s="698"/>
      <c r="D14" s="699"/>
      <c r="E14" s="699"/>
      <c r="F14" s="699"/>
      <c r="G14" s="699"/>
      <c r="H14" s="699"/>
      <c r="I14" s="699"/>
      <c r="J14" s="700"/>
    </row>
    <row r="15" spans="1:10" ht="12.75">
      <c r="A15" s="14">
        <v>5</v>
      </c>
      <c r="B15" s="224" t="s">
        <v>835</v>
      </c>
      <c r="C15" s="698"/>
      <c r="D15" s="699"/>
      <c r="E15" s="699"/>
      <c r="F15" s="699"/>
      <c r="G15" s="699"/>
      <c r="H15" s="699"/>
      <c r="I15" s="699"/>
      <c r="J15" s="700"/>
    </row>
    <row r="16" spans="1:10" ht="12.75">
      <c r="A16" s="14">
        <v>6</v>
      </c>
      <c r="B16" s="224" t="s">
        <v>836</v>
      </c>
      <c r="C16" s="698"/>
      <c r="D16" s="699"/>
      <c r="E16" s="699"/>
      <c r="F16" s="699"/>
      <c r="G16" s="699"/>
      <c r="H16" s="699"/>
      <c r="I16" s="699"/>
      <c r="J16" s="700"/>
    </row>
    <row r="17" spans="1:10" ht="12.75">
      <c r="A17" s="14">
        <v>7</v>
      </c>
      <c r="B17" s="224" t="s">
        <v>837</v>
      </c>
      <c r="C17" s="698"/>
      <c r="D17" s="699"/>
      <c r="E17" s="699"/>
      <c r="F17" s="699"/>
      <c r="G17" s="699"/>
      <c r="H17" s="699"/>
      <c r="I17" s="699"/>
      <c r="J17" s="700"/>
    </row>
    <row r="18" spans="1:10" ht="12.75">
      <c r="A18" s="14">
        <v>8</v>
      </c>
      <c r="B18" s="224" t="s">
        <v>838</v>
      </c>
      <c r="C18" s="698"/>
      <c r="D18" s="699"/>
      <c r="E18" s="699"/>
      <c r="F18" s="699"/>
      <c r="G18" s="699"/>
      <c r="H18" s="699"/>
      <c r="I18" s="699"/>
      <c r="J18" s="700"/>
    </row>
    <row r="19" spans="1:10" ht="12.75">
      <c r="A19" s="14">
        <v>9</v>
      </c>
      <c r="B19" s="224" t="s">
        <v>839</v>
      </c>
      <c r="C19" s="698"/>
      <c r="D19" s="699"/>
      <c r="E19" s="699"/>
      <c r="F19" s="699"/>
      <c r="G19" s="699"/>
      <c r="H19" s="699"/>
      <c r="I19" s="699"/>
      <c r="J19" s="700"/>
    </row>
    <row r="20" spans="1:10" ht="12.75">
      <c r="A20" s="14">
        <v>10</v>
      </c>
      <c r="B20" s="224" t="s">
        <v>840</v>
      </c>
      <c r="C20" s="698"/>
      <c r="D20" s="699"/>
      <c r="E20" s="699"/>
      <c r="F20" s="699"/>
      <c r="G20" s="699"/>
      <c r="H20" s="699"/>
      <c r="I20" s="699"/>
      <c r="J20" s="700"/>
    </row>
    <row r="21" spans="1:10" ht="12.75">
      <c r="A21" s="14">
        <v>11</v>
      </c>
      <c r="B21" s="224" t="s">
        <v>841</v>
      </c>
      <c r="C21" s="698"/>
      <c r="D21" s="699"/>
      <c r="E21" s="699"/>
      <c r="F21" s="699"/>
      <c r="G21" s="699"/>
      <c r="H21" s="699"/>
      <c r="I21" s="699"/>
      <c r="J21" s="700"/>
    </row>
    <row r="22" spans="1:10" ht="12.75">
      <c r="A22" s="14">
        <v>12</v>
      </c>
      <c r="B22" s="224" t="s">
        <v>842</v>
      </c>
      <c r="C22" s="698"/>
      <c r="D22" s="699"/>
      <c r="E22" s="699"/>
      <c r="F22" s="699"/>
      <c r="G22" s="699"/>
      <c r="H22" s="699"/>
      <c r="I22" s="699"/>
      <c r="J22" s="700"/>
    </row>
    <row r="23" spans="1:10" ht="12.75">
      <c r="A23" s="14">
        <v>13</v>
      </c>
      <c r="B23" s="224" t="s">
        <v>843</v>
      </c>
      <c r="C23" s="698"/>
      <c r="D23" s="699"/>
      <c r="E23" s="699"/>
      <c r="F23" s="699"/>
      <c r="G23" s="699"/>
      <c r="H23" s="699"/>
      <c r="I23" s="699"/>
      <c r="J23" s="700"/>
    </row>
    <row r="24" spans="1:10" ht="12.75">
      <c r="A24" s="14">
        <v>14</v>
      </c>
      <c r="B24" s="224" t="s">
        <v>844</v>
      </c>
      <c r="C24" s="698"/>
      <c r="D24" s="699"/>
      <c r="E24" s="699"/>
      <c r="F24" s="699"/>
      <c r="G24" s="699"/>
      <c r="H24" s="699"/>
      <c r="I24" s="699"/>
      <c r="J24" s="700"/>
    </row>
    <row r="25" spans="1:10" ht="12.75">
      <c r="A25" s="14">
        <v>15</v>
      </c>
      <c r="B25" s="224" t="s">
        <v>845</v>
      </c>
      <c r="C25" s="698"/>
      <c r="D25" s="699"/>
      <c r="E25" s="699"/>
      <c r="F25" s="699"/>
      <c r="G25" s="699"/>
      <c r="H25" s="699"/>
      <c r="I25" s="699"/>
      <c r="J25" s="700"/>
    </row>
    <row r="26" spans="1:10" ht="12.75">
      <c r="A26" s="14">
        <v>16</v>
      </c>
      <c r="B26" s="224" t="s">
        <v>846</v>
      </c>
      <c r="C26" s="698"/>
      <c r="D26" s="699"/>
      <c r="E26" s="699"/>
      <c r="F26" s="699"/>
      <c r="G26" s="699"/>
      <c r="H26" s="699"/>
      <c r="I26" s="699"/>
      <c r="J26" s="700"/>
    </row>
    <row r="27" spans="1:10" ht="12.75">
      <c r="A27" s="14">
        <v>17</v>
      </c>
      <c r="B27" s="224" t="s">
        <v>847</v>
      </c>
      <c r="C27" s="698"/>
      <c r="D27" s="699"/>
      <c r="E27" s="699"/>
      <c r="F27" s="699"/>
      <c r="G27" s="699"/>
      <c r="H27" s="699"/>
      <c r="I27" s="699"/>
      <c r="J27" s="700"/>
    </row>
    <row r="28" spans="1:10" ht="12.75">
      <c r="A28" s="14">
        <v>18</v>
      </c>
      <c r="B28" s="224" t="s">
        <v>848</v>
      </c>
      <c r="C28" s="698"/>
      <c r="D28" s="699"/>
      <c r="E28" s="699"/>
      <c r="F28" s="699"/>
      <c r="G28" s="699"/>
      <c r="H28" s="699"/>
      <c r="I28" s="699"/>
      <c r="J28" s="700"/>
    </row>
    <row r="29" spans="1:10" ht="12.75">
      <c r="A29" s="14">
        <v>19</v>
      </c>
      <c r="B29" s="224" t="s">
        <v>849</v>
      </c>
      <c r="C29" s="698"/>
      <c r="D29" s="699"/>
      <c r="E29" s="699"/>
      <c r="F29" s="699"/>
      <c r="G29" s="699"/>
      <c r="H29" s="699"/>
      <c r="I29" s="699"/>
      <c r="J29" s="700"/>
    </row>
    <row r="30" spans="1:10" ht="12.75">
      <c r="A30" s="14">
        <v>20</v>
      </c>
      <c r="B30" s="224" t="s">
        <v>850</v>
      </c>
      <c r="C30" s="698"/>
      <c r="D30" s="699"/>
      <c r="E30" s="699"/>
      <c r="F30" s="699"/>
      <c r="G30" s="699"/>
      <c r="H30" s="699"/>
      <c r="I30" s="699"/>
      <c r="J30" s="700"/>
    </row>
    <row r="31" spans="1:10" ht="12.75">
      <c r="A31" s="14">
        <v>21</v>
      </c>
      <c r="B31" s="224" t="s">
        <v>851</v>
      </c>
      <c r="C31" s="698"/>
      <c r="D31" s="699"/>
      <c r="E31" s="699"/>
      <c r="F31" s="699"/>
      <c r="G31" s="699"/>
      <c r="H31" s="699"/>
      <c r="I31" s="699"/>
      <c r="J31" s="700"/>
    </row>
    <row r="32" spans="1:10" ht="12.75">
      <c r="A32" s="14">
        <v>22</v>
      </c>
      <c r="B32" s="224" t="s">
        <v>852</v>
      </c>
      <c r="C32" s="698"/>
      <c r="D32" s="699"/>
      <c r="E32" s="699"/>
      <c r="F32" s="699"/>
      <c r="G32" s="699"/>
      <c r="H32" s="699"/>
      <c r="I32" s="699"/>
      <c r="J32" s="700"/>
    </row>
    <row r="33" spans="1:10" ht="12.75">
      <c r="A33" s="14">
        <v>23</v>
      </c>
      <c r="B33" s="224" t="s">
        <v>853</v>
      </c>
      <c r="C33" s="698"/>
      <c r="D33" s="699"/>
      <c r="E33" s="699"/>
      <c r="F33" s="699"/>
      <c r="G33" s="699"/>
      <c r="H33" s="699"/>
      <c r="I33" s="699"/>
      <c r="J33" s="700"/>
    </row>
    <row r="34" spans="1:10" ht="12.75">
      <c r="A34" s="14">
        <v>24</v>
      </c>
      <c r="B34" s="224" t="s">
        <v>854</v>
      </c>
      <c r="C34" s="698"/>
      <c r="D34" s="699"/>
      <c r="E34" s="699"/>
      <c r="F34" s="699"/>
      <c r="G34" s="699"/>
      <c r="H34" s="699"/>
      <c r="I34" s="699"/>
      <c r="J34" s="700"/>
    </row>
    <row r="35" spans="1:10" ht="12.75">
      <c r="A35" s="560" t="s">
        <v>13</v>
      </c>
      <c r="B35" s="561"/>
      <c r="C35" s="701"/>
      <c r="D35" s="702"/>
      <c r="E35" s="702"/>
      <c r="F35" s="702"/>
      <c r="G35" s="702"/>
      <c r="H35" s="702"/>
      <c r="I35" s="702"/>
      <c r="J35" s="703"/>
    </row>
    <row r="36" spans="1:10" ht="12.75">
      <c r="A36" s="9"/>
      <c r="B36" s="24"/>
      <c r="C36" s="24"/>
      <c r="D36" s="17"/>
      <c r="E36" s="17"/>
      <c r="F36" s="17"/>
      <c r="G36" s="17"/>
      <c r="H36" s="17"/>
      <c r="I36" s="17"/>
      <c r="J36" s="17"/>
    </row>
    <row r="37" spans="1:10" ht="12.75">
      <c r="A37" s="9"/>
      <c r="B37" s="24"/>
      <c r="C37" s="24"/>
      <c r="D37" s="17"/>
      <c r="E37" s="17"/>
      <c r="F37" s="17"/>
      <c r="G37" s="17"/>
      <c r="H37" s="17"/>
      <c r="I37" s="17"/>
      <c r="J37" s="17"/>
    </row>
    <row r="38" spans="1:10" ht="12.75">
      <c r="A38" s="9"/>
      <c r="B38" s="24"/>
      <c r="C38" s="24"/>
      <c r="D38" s="17"/>
      <c r="E38" s="17"/>
      <c r="F38" s="17"/>
      <c r="G38" s="17"/>
      <c r="H38" s="17"/>
      <c r="I38" s="17"/>
      <c r="J38" s="17"/>
    </row>
    <row r="39" spans="1:10" ht="15.75" customHeight="1">
      <c r="A39" s="11"/>
      <c r="B39" s="11"/>
      <c r="C39" s="11"/>
      <c r="D39" s="11"/>
      <c r="E39" s="11"/>
      <c r="F39" s="11"/>
      <c r="G39" s="11"/>
      <c r="I39" s="68"/>
      <c r="J39" s="68"/>
    </row>
    <row r="40" spans="1:10" ht="12.75" customHeight="1">
      <c r="A40" s="559" t="s">
        <v>989</v>
      </c>
      <c r="B40" s="559"/>
      <c r="C40" s="559"/>
      <c r="E40" s="559" t="s">
        <v>990</v>
      </c>
      <c r="F40" s="559"/>
      <c r="G40" s="359"/>
      <c r="H40" s="559" t="s">
        <v>996</v>
      </c>
      <c r="I40" s="559"/>
      <c r="J40" s="559"/>
    </row>
    <row r="41" spans="1:10" ht="12.75" customHeight="1">
      <c r="A41" s="559" t="s">
        <v>991</v>
      </c>
      <c r="B41" s="559"/>
      <c r="C41" s="559"/>
      <c r="E41" s="559" t="s">
        <v>992</v>
      </c>
      <c r="F41" s="559"/>
      <c r="G41" s="359"/>
      <c r="H41" s="559" t="s">
        <v>993</v>
      </c>
      <c r="I41" s="559"/>
      <c r="J41" s="559"/>
    </row>
    <row r="42" spans="1:10" ht="12.75">
      <c r="A42" s="559" t="s">
        <v>994</v>
      </c>
      <c r="B42" s="559"/>
      <c r="C42" s="559"/>
      <c r="E42" s="559" t="s">
        <v>995</v>
      </c>
      <c r="F42" s="559"/>
      <c r="G42" s="359"/>
      <c r="H42" s="559" t="s">
        <v>995</v>
      </c>
      <c r="I42" s="559"/>
      <c r="J42" s="559"/>
    </row>
    <row r="46" spans="1:10" ht="12.75">
      <c r="A46" s="694"/>
      <c r="B46" s="694"/>
      <c r="C46" s="694"/>
      <c r="D46" s="694"/>
      <c r="E46" s="694"/>
      <c r="F46" s="694"/>
      <c r="G46" s="694"/>
      <c r="H46" s="694"/>
      <c r="I46" s="694"/>
      <c r="J46" s="694"/>
    </row>
    <row r="48" spans="1:10" ht="12.75">
      <c r="A48" s="694"/>
      <c r="B48" s="694"/>
      <c r="C48" s="694"/>
      <c r="D48" s="694"/>
      <c r="E48" s="694"/>
      <c r="F48" s="694"/>
      <c r="G48" s="694"/>
      <c r="H48" s="694"/>
      <c r="I48" s="694"/>
      <c r="J48" s="694"/>
    </row>
  </sheetData>
  <sheetProtection/>
  <mergeCells count="23">
    <mergeCell ref="A46:J46"/>
    <mergeCell ref="A48:J48"/>
    <mergeCell ref="A8:A9"/>
    <mergeCell ref="B8:B9"/>
    <mergeCell ref="C8:F8"/>
    <mergeCell ref="G8:J8"/>
    <mergeCell ref="A40:C40"/>
    <mergeCell ref="E40:F40"/>
    <mergeCell ref="H40:J40"/>
    <mergeCell ref="A41:C41"/>
    <mergeCell ref="E1:I1"/>
    <mergeCell ref="A2:J2"/>
    <mergeCell ref="A3:J3"/>
    <mergeCell ref="A5:J5"/>
    <mergeCell ref="A7:B7"/>
    <mergeCell ref="H7:J7"/>
    <mergeCell ref="E41:F41"/>
    <mergeCell ref="H41:J41"/>
    <mergeCell ref="A42:C42"/>
    <mergeCell ref="E42:F42"/>
    <mergeCell ref="H42:J42"/>
    <mergeCell ref="A35:B35"/>
    <mergeCell ref="C11:J3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R49"/>
  <sheetViews>
    <sheetView view="pageBreakPreview" zoomScale="70" zoomScaleSheetLayoutView="70" zoomScalePageLayoutView="0" workbookViewId="0" topLeftCell="A1">
      <selection activeCell="Q50" sqref="Q50"/>
    </sheetView>
  </sheetViews>
  <sheetFormatPr defaultColWidth="9.140625" defaultRowHeight="12.75"/>
  <cols>
    <col min="1" max="1" width="6.7109375" style="12" customWidth="1"/>
    <col min="2" max="2" width="15.8515625" style="12" bestFit="1" customWidth="1"/>
    <col min="3" max="3" width="12.00390625" style="12" customWidth="1"/>
    <col min="4" max="4" width="11.28125" style="12" customWidth="1"/>
    <col min="5" max="5" width="12.00390625" style="12" customWidth="1"/>
    <col min="6" max="6" width="13.00390625" style="12" customWidth="1"/>
    <col min="7" max="7" width="12.8515625" style="12" customWidth="1"/>
    <col min="8" max="8" width="12.421875" style="12" customWidth="1"/>
    <col min="9" max="9" width="12.140625" style="12" customWidth="1"/>
    <col min="10" max="10" width="11.7109375" style="12" customWidth="1"/>
    <col min="11" max="11" width="12.00390625" style="12" customWidth="1"/>
    <col min="12" max="12" width="14.140625" style="12" customWidth="1"/>
    <col min="13" max="16" width="9.140625" style="12" customWidth="1"/>
    <col min="17" max="17" width="10.421875" style="12" bestFit="1" customWidth="1"/>
    <col min="18" max="16384" width="9.140625" style="12" customWidth="1"/>
  </cols>
  <sheetData>
    <row r="1" spans="4:15" ht="15">
      <c r="D1" s="29"/>
      <c r="E1" s="29"/>
      <c r="F1" s="29"/>
      <c r="G1" s="29"/>
      <c r="H1" s="29"/>
      <c r="I1" s="29"/>
      <c r="J1" s="29"/>
      <c r="K1" s="29"/>
      <c r="L1" s="704" t="s">
        <v>57</v>
      </c>
      <c r="M1" s="704"/>
      <c r="N1" s="36"/>
      <c r="O1" s="36"/>
    </row>
    <row r="2" spans="1:15" ht="15">
      <c r="A2" s="684" t="s">
        <v>0</v>
      </c>
      <c r="B2" s="684"/>
      <c r="C2" s="684"/>
      <c r="D2" s="684"/>
      <c r="E2" s="684"/>
      <c r="F2" s="684"/>
      <c r="G2" s="684"/>
      <c r="H2" s="684"/>
      <c r="I2" s="684"/>
      <c r="J2" s="684"/>
      <c r="K2" s="684"/>
      <c r="L2" s="684"/>
      <c r="M2" s="38"/>
      <c r="N2" s="38"/>
      <c r="O2" s="38"/>
    </row>
    <row r="3" spans="1:15" ht="20.25">
      <c r="A3" s="591" t="s">
        <v>645</v>
      </c>
      <c r="B3" s="591"/>
      <c r="C3" s="591"/>
      <c r="D3" s="591"/>
      <c r="E3" s="591"/>
      <c r="F3" s="591"/>
      <c r="G3" s="591"/>
      <c r="H3" s="591"/>
      <c r="I3" s="591"/>
      <c r="J3" s="591"/>
      <c r="K3" s="591"/>
      <c r="L3" s="591"/>
      <c r="M3" s="37"/>
      <c r="N3" s="37"/>
      <c r="O3" s="37"/>
    </row>
    <row r="4" ht="10.5" customHeight="1"/>
    <row r="5" spans="1:12" ht="15.75">
      <c r="A5" s="691" t="s">
        <v>742</v>
      </c>
      <c r="B5" s="691"/>
      <c r="C5" s="691"/>
      <c r="D5" s="691"/>
      <c r="E5" s="691"/>
      <c r="F5" s="691"/>
      <c r="G5" s="691"/>
      <c r="H5" s="691"/>
      <c r="I5" s="691"/>
      <c r="J5" s="691"/>
      <c r="K5" s="691"/>
      <c r="L5" s="691"/>
    </row>
    <row r="6" spans="1:12" ht="12.75">
      <c r="A6" s="18"/>
      <c r="B6" s="18"/>
      <c r="C6" s="18"/>
      <c r="D6" s="18"/>
      <c r="E6" s="18"/>
      <c r="F6" s="18"/>
      <c r="G6" s="18"/>
      <c r="H6" s="18"/>
      <c r="I6" s="18"/>
      <c r="J6" s="18"/>
      <c r="K6" s="18"/>
      <c r="L6" s="18"/>
    </row>
    <row r="7" spans="1:12" ht="12.75">
      <c r="A7" s="593" t="s">
        <v>956</v>
      </c>
      <c r="B7" s="593"/>
      <c r="F7" s="714" t="s">
        <v>14</v>
      </c>
      <c r="G7" s="714"/>
      <c r="H7" s="714"/>
      <c r="I7" s="714"/>
      <c r="J7" s="714"/>
      <c r="K7" s="714"/>
      <c r="L7" s="714"/>
    </row>
    <row r="8" spans="1:12" ht="12.75">
      <c r="A8" s="11"/>
      <c r="F8" s="13"/>
      <c r="G8" s="79"/>
      <c r="H8" s="79"/>
      <c r="I8" s="689" t="s">
        <v>959</v>
      </c>
      <c r="J8" s="689"/>
      <c r="K8" s="689"/>
      <c r="L8" s="689"/>
    </row>
    <row r="9" spans="1:18" s="11" customFormat="1" ht="12.75">
      <c r="A9" s="573" t="s">
        <v>1</v>
      </c>
      <c r="B9" s="573" t="s">
        <v>2</v>
      </c>
      <c r="C9" s="574" t="s">
        <v>15</v>
      </c>
      <c r="D9" s="625"/>
      <c r="E9" s="625"/>
      <c r="F9" s="625"/>
      <c r="G9" s="625"/>
      <c r="H9" s="574" t="s">
        <v>36</v>
      </c>
      <c r="I9" s="625"/>
      <c r="J9" s="625"/>
      <c r="K9" s="625"/>
      <c r="L9" s="625"/>
      <c r="Q9" s="23"/>
      <c r="R9" s="24"/>
    </row>
    <row r="10" spans="1:12" s="11" customFormat="1" ht="63.75" customHeight="1">
      <c r="A10" s="573"/>
      <c r="B10" s="573"/>
      <c r="C10" s="5" t="s">
        <v>665</v>
      </c>
      <c r="D10" s="5" t="s">
        <v>666</v>
      </c>
      <c r="E10" s="5" t="s">
        <v>64</v>
      </c>
      <c r="F10" s="5" t="s">
        <v>65</v>
      </c>
      <c r="G10" s="5" t="s">
        <v>743</v>
      </c>
      <c r="H10" s="5" t="s">
        <v>665</v>
      </c>
      <c r="I10" s="5" t="s">
        <v>666</v>
      </c>
      <c r="J10" s="5" t="s">
        <v>64</v>
      </c>
      <c r="K10" s="5" t="s">
        <v>65</v>
      </c>
      <c r="L10" s="5" t="s">
        <v>744</v>
      </c>
    </row>
    <row r="11" spans="1:12" s="11" customFormat="1" ht="12.75">
      <c r="A11" s="5">
        <v>1</v>
      </c>
      <c r="B11" s="5">
        <v>2</v>
      </c>
      <c r="C11" s="5">
        <v>3</v>
      </c>
      <c r="D11" s="5">
        <v>4</v>
      </c>
      <c r="E11" s="5">
        <v>5</v>
      </c>
      <c r="F11" s="5">
        <v>6</v>
      </c>
      <c r="G11" s="5">
        <v>7</v>
      </c>
      <c r="H11" s="5">
        <v>8</v>
      </c>
      <c r="I11" s="5">
        <v>9</v>
      </c>
      <c r="J11" s="5">
        <v>10</v>
      </c>
      <c r="K11" s="5">
        <v>11</v>
      </c>
      <c r="L11" s="5">
        <v>12</v>
      </c>
    </row>
    <row r="12" spans="1:18" ht="12.75">
      <c r="A12" s="14">
        <v>1</v>
      </c>
      <c r="B12" s="224" t="s">
        <v>831</v>
      </c>
      <c r="C12" s="228">
        <v>3397.4024</v>
      </c>
      <c r="D12" s="228">
        <v>381.7021999999997</v>
      </c>
      <c r="E12" s="228">
        <v>3126.9500000000003</v>
      </c>
      <c r="F12" s="228">
        <v>3184.1732309999998</v>
      </c>
      <c r="G12" s="228">
        <f>D12+E12-F12</f>
        <v>324.47896900000023</v>
      </c>
      <c r="H12" s="705" t="s">
        <v>874</v>
      </c>
      <c r="I12" s="706"/>
      <c r="J12" s="706"/>
      <c r="K12" s="706"/>
      <c r="L12" s="707"/>
      <c r="M12" s="259">
        <f>C12+'T6A_FG_Upy_Utlsn '!C12</f>
        <v>5695.7192</v>
      </c>
      <c r="N12" s="259">
        <f>F12+'T6A_FG_Upy_Utlsn '!F12</f>
        <v>5285.196857</v>
      </c>
      <c r="O12" s="259">
        <v>3184.1732309999998</v>
      </c>
      <c r="P12" s="259">
        <f>F12-O12</f>
        <v>0</v>
      </c>
      <c r="Q12" s="259">
        <v>3189.1537000000003</v>
      </c>
      <c r="R12" s="259">
        <f>F12-Q12</f>
        <v>-4.980469000000539</v>
      </c>
    </row>
    <row r="13" spans="1:18" ht="12.75">
      <c r="A13" s="14">
        <v>2</v>
      </c>
      <c r="B13" s="224" t="s">
        <v>832</v>
      </c>
      <c r="C13" s="228">
        <v>1161.1102</v>
      </c>
      <c r="D13" s="228">
        <v>102.38619999999992</v>
      </c>
      <c r="E13" s="228">
        <v>1048.02</v>
      </c>
      <c r="F13" s="228">
        <v>1159.4209</v>
      </c>
      <c r="G13" s="228">
        <f aca="true" t="shared" si="0" ref="G13:G35">D13+E13-F13</f>
        <v>-9.014700000000175</v>
      </c>
      <c r="H13" s="708"/>
      <c r="I13" s="709"/>
      <c r="J13" s="709"/>
      <c r="K13" s="709"/>
      <c r="L13" s="710"/>
      <c r="M13" s="259">
        <f>C13+'T6A_FG_Upy_Utlsn '!C13</f>
        <v>1881.3907</v>
      </c>
      <c r="N13" s="259">
        <f>F13+'T6A_FG_Upy_Utlsn '!F13</f>
        <v>1783.35635</v>
      </c>
      <c r="O13" s="259">
        <v>1159.4209</v>
      </c>
      <c r="P13" s="259">
        <f aca="true" t="shared" si="1" ref="P13:P35">F13-O13</f>
        <v>0</v>
      </c>
      <c r="Q13" s="259">
        <v>1159.421</v>
      </c>
      <c r="R13" s="259">
        <f aca="true" t="shared" si="2" ref="R13:R35">F13-Q13</f>
        <v>-9.999999997489795E-05</v>
      </c>
    </row>
    <row r="14" spans="1:18" ht="12.75">
      <c r="A14" s="14">
        <v>3</v>
      </c>
      <c r="B14" s="224" t="s">
        <v>833</v>
      </c>
      <c r="C14" s="228">
        <v>839.2668</v>
      </c>
      <c r="D14" s="228">
        <v>73.88839999999993</v>
      </c>
      <c r="E14" s="228">
        <v>819.6600000000001</v>
      </c>
      <c r="F14" s="228">
        <v>859.125</v>
      </c>
      <c r="G14" s="228">
        <f t="shared" si="0"/>
        <v>34.423400000000015</v>
      </c>
      <c r="H14" s="708"/>
      <c r="I14" s="709"/>
      <c r="J14" s="709"/>
      <c r="K14" s="709"/>
      <c r="L14" s="710"/>
      <c r="M14" s="259">
        <f>C14+'T6A_FG_Upy_Utlsn '!C14</f>
        <v>1462.1255999999998</v>
      </c>
      <c r="N14" s="259">
        <f>F14+'T6A_FG_Upy_Utlsn '!F14</f>
        <v>1430.4211</v>
      </c>
      <c r="O14" s="259">
        <v>859.125</v>
      </c>
      <c r="P14" s="259">
        <f t="shared" si="1"/>
        <v>0</v>
      </c>
      <c r="Q14" s="259">
        <v>859.1281</v>
      </c>
      <c r="R14" s="259">
        <f t="shared" si="2"/>
        <v>-0.003100000000017644</v>
      </c>
    </row>
    <row r="15" spans="1:18" ht="12.75">
      <c r="A15" s="14">
        <v>4</v>
      </c>
      <c r="B15" s="224" t="s">
        <v>834</v>
      </c>
      <c r="C15" s="228">
        <v>2483.6374</v>
      </c>
      <c r="D15" s="228">
        <v>167.57619999999997</v>
      </c>
      <c r="E15" s="228">
        <v>2269.82</v>
      </c>
      <c r="F15" s="228">
        <v>2443.0285</v>
      </c>
      <c r="G15" s="228">
        <f t="shared" si="0"/>
        <v>-5.632299999999759</v>
      </c>
      <c r="H15" s="708"/>
      <c r="I15" s="709"/>
      <c r="J15" s="709"/>
      <c r="K15" s="709"/>
      <c r="L15" s="710"/>
      <c r="M15" s="259">
        <f>C15+'T6A_FG_Upy_Utlsn '!C15</f>
        <v>3886.8604</v>
      </c>
      <c r="N15" s="259">
        <f>F15+'T6A_FG_Upy_Utlsn '!F15</f>
        <v>3816.39025</v>
      </c>
      <c r="O15" s="259">
        <v>2443.0285</v>
      </c>
      <c r="P15" s="259">
        <f t="shared" si="1"/>
        <v>0</v>
      </c>
      <c r="Q15" s="259">
        <v>2443.021</v>
      </c>
      <c r="R15" s="259">
        <f t="shared" si="2"/>
        <v>0.007499999999708962</v>
      </c>
    </row>
    <row r="16" spans="1:18" ht="12.75">
      <c r="A16" s="14">
        <v>5</v>
      </c>
      <c r="B16" s="224" t="s">
        <v>835</v>
      </c>
      <c r="C16" s="228">
        <v>1241.9076</v>
      </c>
      <c r="D16" s="228">
        <v>71.2144000000003</v>
      </c>
      <c r="E16" s="228">
        <v>1162.95</v>
      </c>
      <c r="F16" s="228">
        <v>1278.1478</v>
      </c>
      <c r="G16" s="228">
        <f t="shared" si="0"/>
        <v>-43.98339999999962</v>
      </c>
      <c r="H16" s="708"/>
      <c r="I16" s="709"/>
      <c r="J16" s="709"/>
      <c r="K16" s="709"/>
      <c r="L16" s="710"/>
      <c r="M16" s="259">
        <f>C16+'T6A_FG_Upy_Utlsn '!C16</f>
        <v>2076.9834</v>
      </c>
      <c r="N16" s="259">
        <f>F16+'T6A_FG_Upy_Utlsn '!F16</f>
        <v>2024.4905999999999</v>
      </c>
      <c r="O16" s="259">
        <v>1278.1478</v>
      </c>
      <c r="P16" s="259">
        <f t="shared" si="1"/>
        <v>0</v>
      </c>
      <c r="Q16" s="259">
        <v>1278.1541</v>
      </c>
      <c r="R16" s="259">
        <f t="shared" si="2"/>
        <v>-0.006300000000010186</v>
      </c>
    </row>
    <row r="17" spans="1:18" ht="12.75">
      <c r="A17" s="14">
        <v>6</v>
      </c>
      <c r="B17" s="224" t="s">
        <v>836</v>
      </c>
      <c r="C17" s="228">
        <v>2090.8518</v>
      </c>
      <c r="D17" s="228">
        <v>79.04759999999942</v>
      </c>
      <c r="E17" s="228">
        <v>1934.87</v>
      </c>
      <c r="F17" s="228">
        <v>2142.9511</v>
      </c>
      <c r="G17" s="228">
        <f t="shared" si="0"/>
        <v>-129.0335000000009</v>
      </c>
      <c r="H17" s="708"/>
      <c r="I17" s="709"/>
      <c r="J17" s="709"/>
      <c r="K17" s="709"/>
      <c r="L17" s="710"/>
      <c r="M17" s="259">
        <f>C17+'T6A_FG_Upy_Utlsn '!C17</f>
        <v>3808.857</v>
      </c>
      <c r="N17" s="259">
        <f>F17+'T6A_FG_Upy_Utlsn '!F17</f>
        <v>3773.955</v>
      </c>
      <c r="O17" s="259">
        <v>2142.9511</v>
      </c>
      <c r="P17" s="259">
        <f t="shared" si="1"/>
        <v>0</v>
      </c>
      <c r="Q17" s="259">
        <v>2142.9694</v>
      </c>
      <c r="R17" s="259">
        <f t="shared" si="2"/>
        <v>-0.018299999999726424</v>
      </c>
    </row>
    <row r="18" spans="1:18" ht="12.75">
      <c r="A18" s="14">
        <v>7</v>
      </c>
      <c r="B18" s="224" t="s">
        <v>837</v>
      </c>
      <c r="C18" s="228">
        <v>1420.3680000000002</v>
      </c>
      <c r="D18" s="228">
        <v>-10.110200000000304</v>
      </c>
      <c r="E18" s="228">
        <v>1408.53</v>
      </c>
      <c r="F18" s="228">
        <v>1491.9899999999998</v>
      </c>
      <c r="G18" s="228">
        <f t="shared" si="0"/>
        <v>-93.57020000000011</v>
      </c>
      <c r="H18" s="708"/>
      <c r="I18" s="709"/>
      <c r="J18" s="709"/>
      <c r="K18" s="709"/>
      <c r="L18" s="710"/>
      <c r="M18" s="259">
        <f>C18+'T6A_FG_Upy_Utlsn '!C18</f>
        <v>2834.9829</v>
      </c>
      <c r="N18" s="259">
        <f>F18+'T6A_FG_Upy_Utlsn '!F18</f>
        <v>2881.6099999999997</v>
      </c>
      <c r="O18" s="259">
        <v>1491.9899999999998</v>
      </c>
      <c r="P18" s="259">
        <f t="shared" si="1"/>
        <v>0</v>
      </c>
      <c r="Q18" s="259">
        <v>1492.0153</v>
      </c>
      <c r="R18" s="259">
        <f t="shared" si="2"/>
        <v>-0.025300000000243017</v>
      </c>
    </row>
    <row r="19" spans="1:18" ht="12.75">
      <c r="A19" s="14">
        <v>8</v>
      </c>
      <c r="B19" s="224" t="s">
        <v>838</v>
      </c>
      <c r="C19" s="228">
        <v>3323.5646</v>
      </c>
      <c r="D19" s="228">
        <v>292.77610000000004</v>
      </c>
      <c r="E19" s="228">
        <v>3009.26</v>
      </c>
      <c r="F19" s="228">
        <v>3102.21</v>
      </c>
      <c r="G19" s="228">
        <f t="shared" si="0"/>
        <v>199.82610000000022</v>
      </c>
      <c r="H19" s="708"/>
      <c r="I19" s="709"/>
      <c r="J19" s="709"/>
      <c r="K19" s="709"/>
      <c r="L19" s="710"/>
      <c r="M19" s="259">
        <f>C19+'T6A_FG_Upy_Utlsn '!C19</f>
        <v>5343.5445500000005</v>
      </c>
      <c r="N19" s="259">
        <f>F19+'T6A_FG_Upy_Utlsn '!F19</f>
        <v>4878.177</v>
      </c>
      <c r="O19" s="259">
        <v>3102.21</v>
      </c>
      <c r="P19" s="259">
        <f t="shared" si="1"/>
        <v>0</v>
      </c>
      <c r="Q19" s="259">
        <v>3102.2132</v>
      </c>
      <c r="R19" s="259">
        <f t="shared" si="2"/>
        <v>-0.003200000000106229</v>
      </c>
    </row>
    <row r="20" spans="1:18" ht="12.75">
      <c r="A20" s="14">
        <v>9</v>
      </c>
      <c r="B20" s="224" t="s">
        <v>839</v>
      </c>
      <c r="C20" s="228">
        <v>4298.2388</v>
      </c>
      <c r="D20" s="228">
        <v>-301.6378000000004</v>
      </c>
      <c r="E20" s="228">
        <v>3860</v>
      </c>
      <c r="F20" s="228">
        <v>4667.742</v>
      </c>
      <c r="G20" s="228">
        <f t="shared" si="0"/>
        <v>-1109.3798000000006</v>
      </c>
      <c r="H20" s="708"/>
      <c r="I20" s="709"/>
      <c r="J20" s="709"/>
      <c r="K20" s="709"/>
      <c r="L20" s="710"/>
      <c r="M20" s="259">
        <f>C20+'T6A_FG_Upy_Utlsn '!C20</f>
        <v>7135.355299999999</v>
      </c>
      <c r="N20" s="259">
        <f>F20+'T6A_FG_Upy_Utlsn '!F20</f>
        <v>7701.765</v>
      </c>
      <c r="O20" s="259">
        <v>4667.742</v>
      </c>
      <c r="P20" s="259">
        <f t="shared" si="1"/>
        <v>0</v>
      </c>
      <c r="Q20" s="259">
        <v>4667.7487</v>
      </c>
      <c r="R20" s="259">
        <f t="shared" si="2"/>
        <v>-0.006699999999909778</v>
      </c>
    </row>
    <row r="21" spans="1:18" ht="12.75">
      <c r="A21" s="14">
        <v>10</v>
      </c>
      <c r="B21" s="224" t="s">
        <v>840</v>
      </c>
      <c r="C21" s="228">
        <v>1440.7388</v>
      </c>
      <c r="D21" s="228">
        <v>315.55029999999965</v>
      </c>
      <c r="E21" s="228">
        <v>1474.41</v>
      </c>
      <c r="F21" s="228">
        <v>1553.819</v>
      </c>
      <c r="G21" s="228">
        <f t="shared" si="0"/>
        <v>236.14129999999977</v>
      </c>
      <c r="H21" s="708"/>
      <c r="I21" s="709"/>
      <c r="J21" s="709"/>
      <c r="K21" s="709"/>
      <c r="L21" s="710"/>
      <c r="M21" s="259">
        <f>C21+'T6A_FG_Upy_Utlsn '!C21</f>
        <v>2423.6426</v>
      </c>
      <c r="N21" s="259">
        <f>F21+'T6A_FG_Upy_Utlsn '!F21</f>
        <v>2447.362</v>
      </c>
      <c r="O21" s="259">
        <v>1553.819</v>
      </c>
      <c r="P21" s="259">
        <f t="shared" si="1"/>
        <v>0</v>
      </c>
      <c r="Q21" s="259">
        <v>1553.8166</v>
      </c>
      <c r="R21" s="259">
        <f t="shared" si="2"/>
        <v>0.002399999999852298</v>
      </c>
    </row>
    <row r="22" spans="1:18" ht="12.75">
      <c r="A22" s="14">
        <v>11</v>
      </c>
      <c r="B22" s="224" t="s">
        <v>841</v>
      </c>
      <c r="C22" s="228">
        <v>2111.2988</v>
      </c>
      <c r="D22" s="228">
        <v>418.726000000001</v>
      </c>
      <c r="E22" s="228">
        <v>2095.3599999999997</v>
      </c>
      <c r="F22" s="228">
        <v>2415.8950000000004</v>
      </c>
      <c r="G22" s="228">
        <f t="shared" si="0"/>
        <v>98.19100000000026</v>
      </c>
      <c r="H22" s="708"/>
      <c r="I22" s="709"/>
      <c r="J22" s="709"/>
      <c r="K22" s="709"/>
      <c r="L22" s="710"/>
      <c r="M22" s="259">
        <f>C22+'T6A_FG_Upy_Utlsn '!C22</f>
        <v>3529.7317999999996</v>
      </c>
      <c r="N22" s="259">
        <f>F22+'T6A_FG_Upy_Utlsn '!F22</f>
        <v>3886.8284000000003</v>
      </c>
      <c r="O22" s="259">
        <v>2415.8950000000004</v>
      </c>
      <c r="P22" s="259">
        <f t="shared" si="1"/>
        <v>0</v>
      </c>
      <c r="Q22" s="259">
        <v>2424.8389</v>
      </c>
      <c r="R22" s="259">
        <f t="shared" si="2"/>
        <v>-8.943899999999758</v>
      </c>
    </row>
    <row r="23" spans="1:18" ht="12.75">
      <c r="A23" s="14">
        <v>12</v>
      </c>
      <c r="B23" s="224" t="s">
        <v>842</v>
      </c>
      <c r="C23" s="228">
        <v>2429.1036</v>
      </c>
      <c r="D23" s="228">
        <v>472.18129999999974</v>
      </c>
      <c r="E23" s="228">
        <v>2494.1800000000003</v>
      </c>
      <c r="F23" s="228">
        <v>2436.212</v>
      </c>
      <c r="G23" s="228">
        <f t="shared" si="0"/>
        <v>530.1493</v>
      </c>
      <c r="H23" s="708"/>
      <c r="I23" s="709"/>
      <c r="J23" s="709"/>
      <c r="K23" s="709"/>
      <c r="L23" s="710"/>
      <c r="M23" s="259">
        <f>C23+'T6A_FG_Upy_Utlsn '!C23</f>
        <v>4246.71765</v>
      </c>
      <c r="N23" s="259">
        <f>F23+'T6A_FG_Upy_Utlsn '!F23</f>
        <v>4148.884</v>
      </c>
      <c r="O23" s="259">
        <v>2436.212</v>
      </c>
      <c r="P23" s="259">
        <f t="shared" si="1"/>
        <v>0</v>
      </c>
      <c r="Q23" s="259">
        <v>2438.8028</v>
      </c>
      <c r="R23" s="259">
        <f t="shared" si="2"/>
        <v>-2.5907999999999447</v>
      </c>
    </row>
    <row r="24" spans="1:18" ht="12.75">
      <c r="A24" s="14">
        <v>13</v>
      </c>
      <c r="B24" s="224" t="s">
        <v>843</v>
      </c>
      <c r="C24" s="228">
        <v>1004.9256</v>
      </c>
      <c r="D24" s="228">
        <v>163.30909999999972</v>
      </c>
      <c r="E24" s="228">
        <v>1008.8599999999999</v>
      </c>
      <c r="F24" s="228">
        <v>1046.2005</v>
      </c>
      <c r="G24" s="228">
        <f t="shared" si="0"/>
        <v>125.9685999999997</v>
      </c>
      <c r="H24" s="708"/>
      <c r="I24" s="709"/>
      <c r="J24" s="709"/>
      <c r="K24" s="709"/>
      <c r="L24" s="710"/>
      <c r="M24" s="259">
        <f>C24+'T6A_FG_Upy_Utlsn '!C24</f>
        <v>1893.9128999999998</v>
      </c>
      <c r="N24" s="259">
        <f>F24+'T6A_FG_Upy_Utlsn '!F24</f>
        <v>1847.93715</v>
      </c>
      <c r="O24" s="259">
        <v>1046.2005</v>
      </c>
      <c r="P24" s="259">
        <f t="shared" si="1"/>
        <v>0</v>
      </c>
      <c r="Q24" s="259">
        <v>1046.4099</v>
      </c>
      <c r="R24" s="259">
        <f t="shared" si="2"/>
        <v>-0.209400000000187</v>
      </c>
    </row>
    <row r="25" spans="1:18" ht="12.75">
      <c r="A25" s="14">
        <v>14</v>
      </c>
      <c r="B25" s="224" t="s">
        <v>844</v>
      </c>
      <c r="C25" s="228">
        <v>1229.6648</v>
      </c>
      <c r="D25" s="228">
        <v>193.7987999999998</v>
      </c>
      <c r="E25" s="228">
        <v>1201.66</v>
      </c>
      <c r="F25" s="228">
        <v>1203.48</v>
      </c>
      <c r="G25" s="228">
        <f t="shared" si="0"/>
        <v>191.97879999999986</v>
      </c>
      <c r="H25" s="708"/>
      <c r="I25" s="709"/>
      <c r="J25" s="709"/>
      <c r="K25" s="709"/>
      <c r="L25" s="710"/>
      <c r="M25" s="259">
        <f>C25+'T6A_FG_Upy_Utlsn '!C25</f>
        <v>2138.3117</v>
      </c>
      <c r="N25" s="259">
        <f>F25+'T6A_FG_Upy_Utlsn '!F25</f>
        <v>2027.1100000000001</v>
      </c>
      <c r="O25" s="259">
        <v>1203.48</v>
      </c>
      <c r="P25" s="259">
        <f t="shared" si="1"/>
        <v>0</v>
      </c>
      <c r="Q25" s="259">
        <v>1203.4647</v>
      </c>
      <c r="R25" s="259">
        <f t="shared" si="2"/>
        <v>0.015300000000024738</v>
      </c>
    </row>
    <row r="26" spans="1:18" ht="12.75">
      <c r="A26" s="14">
        <v>15</v>
      </c>
      <c r="B26" s="224" t="s">
        <v>845</v>
      </c>
      <c r="C26" s="228">
        <v>2431.1356</v>
      </c>
      <c r="D26" s="228">
        <v>524.0337000000009</v>
      </c>
      <c r="E26" s="228">
        <v>2281.23</v>
      </c>
      <c r="F26" s="228">
        <v>2351.56</v>
      </c>
      <c r="G26" s="228">
        <f t="shared" si="0"/>
        <v>453.70370000000094</v>
      </c>
      <c r="H26" s="708"/>
      <c r="I26" s="709"/>
      <c r="J26" s="709"/>
      <c r="K26" s="709"/>
      <c r="L26" s="710"/>
      <c r="M26" s="259">
        <f>C26+'T6A_FG_Upy_Utlsn '!C26</f>
        <v>4106.2783</v>
      </c>
      <c r="N26" s="259">
        <f>F26+'T6A_FG_Upy_Utlsn '!F26</f>
        <v>3903.6</v>
      </c>
      <c r="O26" s="259">
        <v>2283.0899999999997</v>
      </c>
      <c r="P26" s="259">
        <f t="shared" si="1"/>
        <v>68.47000000000025</v>
      </c>
      <c r="Q26" s="259">
        <v>2429.4953</v>
      </c>
      <c r="R26" s="259">
        <f t="shared" si="2"/>
        <v>-77.9353000000001</v>
      </c>
    </row>
    <row r="27" spans="1:18" ht="12.75">
      <c r="A27" s="14">
        <v>16</v>
      </c>
      <c r="B27" s="224" t="s">
        <v>846</v>
      </c>
      <c r="C27" s="228">
        <v>4147.2612</v>
      </c>
      <c r="D27" s="228">
        <v>695.9228999999996</v>
      </c>
      <c r="E27" s="228">
        <v>3578.77</v>
      </c>
      <c r="F27" s="228">
        <v>4219.84</v>
      </c>
      <c r="G27" s="228">
        <f t="shared" si="0"/>
        <v>54.85289999999986</v>
      </c>
      <c r="H27" s="708"/>
      <c r="I27" s="709"/>
      <c r="J27" s="709"/>
      <c r="K27" s="709"/>
      <c r="L27" s="710"/>
      <c r="M27" s="259">
        <f>C27+'T6A_FG_Upy_Utlsn '!C27</f>
        <v>6610.1214</v>
      </c>
      <c r="N27" s="259">
        <f>F27+'T6A_FG_Upy_Utlsn '!F27</f>
        <v>6622.48</v>
      </c>
      <c r="O27" s="259">
        <v>4219.84</v>
      </c>
      <c r="P27" s="259">
        <f t="shared" si="1"/>
        <v>0</v>
      </c>
      <c r="Q27" s="259">
        <v>4219.8428</v>
      </c>
      <c r="R27" s="259">
        <f t="shared" si="2"/>
        <v>-0.002800000000206637</v>
      </c>
    </row>
    <row r="28" spans="1:18" ht="12.75">
      <c r="A28" s="14">
        <v>17</v>
      </c>
      <c r="B28" s="224" t="s">
        <v>847</v>
      </c>
      <c r="C28" s="228">
        <v>2613.3552</v>
      </c>
      <c r="D28" s="228">
        <v>54.13160000000062</v>
      </c>
      <c r="E28" s="228">
        <v>2463.98</v>
      </c>
      <c r="F28" s="228">
        <v>2544.285</v>
      </c>
      <c r="G28" s="228">
        <f t="shared" si="0"/>
        <v>-26.17339999999922</v>
      </c>
      <c r="H28" s="708"/>
      <c r="I28" s="709"/>
      <c r="J28" s="709"/>
      <c r="K28" s="709"/>
      <c r="L28" s="710"/>
      <c r="M28" s="259">
        <f>C28+'T6A_FG_Upy_Utlsn '!C28</f>
        <v>4665.8022</v>
      </c>
      <c r="N28" s="259">
        <f>F28+'T6A_FG_Upy_Utlsn '!F28</f>
        <v>4420.6642999999995</v>
      </c>
      <c r="O28" s="259">
        <v>2544.285</v>
      </c>
      <c r="P28" s="259">
        <f t="shared" si="1"/>
        <v>0</v>
      </c>
      <c r="Q28" s="259">
        <v>2544.0058</v>
      </c>
      <c r="R28" s="259">
        <f t="shared" si="2"/>
        <v>0.27919999999994616</v>
      </c>
    </row>
    <row r="29" spans="1:18" ht="12.75">
      <c r="A29" s="14">
        <v>18</v>
      </c>
      <c r="B29" s="224" t="s">
        <v>848</v>
      </c>
      <c r="C29" s="228">
        <v>2075.8912</v>
      </c>
      <c r="D29" s="228">
        <v>243.71339999999964</v>
      </c>
      <c r="E29" s="228">
        <v>2040.08</v>
      </c>
      <c r="F29" s="228">
        <v>2122.2400000000002</v>
      </c>
      <c r="G29" s="228">
        <f t="shared" si="0"/>
        <v>161.55339999999933</v>
      </c>
      <c r="H29" s="708"/>
      <c r="I29" s="709"/>
      <c r="J29" s="709"/>
      <c r="K29" s="709"/>
      <c r="L29" s="710"/>
      <c r="M29" s="259">
        <f>C29+'T6A_FG_Upy_Utlsn '!C29</f>
        <v>3801.1735</v>
      </c>
      <c r="N29" s="259">
        <f>F29+'T6A_FG_Upy_Utlsn '!F29</f>
        <v>3712.6700000000005</v>
      </c>
      <c r="O29" s="259">
        <v>2122.2400000000002</v>
      </c>
      <c r="P29" s="259">
        <f t="shared" si="1"/>
        <v>0</v>
      </c>
      <c r="Q29" s="259">
        <v>2126.7281000000003</v>
      </c>
      <c r="R29" s="259">
        <f t="shared" si="2"/>
        <v>-4.488100000000031</v>
      </c>
    </row>
    <row r="30" spans="1:18" ht="12.75">
      <c r="A30" s="14">
        <v>19</v>
      </c>
      <c r="B30" s="224" t="s">
        <v>849</v>
      </c>
      <c r="C30" s="228">
        <v>2150.745</v>
      </c>
      <c r="D30" s="228">
        <v>3.2845000000002074</v>
      </c>
      <c r="E30" s="228">
        <v>2018.09</v>
      </c>
      <c r="F30" s="228">
        <v>2260.822</v>
      </c>
      <c r="G30" s="228">
        <f t="shared" si="0"/>
        <v>-239.4475</v>
      </c>
      <c r="H30" s="708"/>
      <c r="I30" s="709"/>
      <c r="J30" s="709"/>
      <c r="K30" s="709"/>
      <c r="L30" s="710"/>
      <c r="M30" s="259">
        <f>C30+'T6A_FG_Upy_Utlsn '!C30</f>
        <v>3468.7015499999998</v>
      </c>
      <c r="N30" s="259">
        <f>F30+'T6A_FG_Upy_Utlsn '!F30</f>
        <v>3562.2397</v>
      </c>
      <c r="O30" s="259">
        <v>2260.822</v>
      </c>
      <c r="P30" s="259">
        <f t="shared" si="1"/>
        <v>0</v>
      </c>
      <c r="Q30" s="259">
        <v>2281.0009</v>
      </c>
      <c r="R30" s="259">
        <f t="shared" si="2"/>
        <v>-20.178899999999885</v>
      </c>
    </row>
    <row r="31" spans="1:18" ht="12.75">
      <c r="A31" s="14">
        <v>20</v>
      </c>
      <c r="B31" s="224" t="s">
        <v>850</v>
      </c>
      <c r="C31" s="228">
        <v>1469.136</v>
      </c>
      <c r="D31" s="228">
        <v>-22.42859999999996</v>
      </c>
      <c r="E31" s="228">
        <v>1262.43</v>
      </c>
      <c r="F31" s="228">
        <v>1383.75</v>
      </c>
      <c r="G31" s="228">
        <f t="shared" si="0"/>
        <v>-143.7485999999999</v>
      </c>
      <c r="H31" s="708"/>
      <c r="I31" s="709"/>
      <c r="J31" s="709"/>
      <c r="K31" s="709"/>
      <c r="L31" s="710"/>
      <c r="M31" s="259">
        <f>C31+'T6A_FG_Upy_Utlsn '!C31</f>
        <v>2419.7309999999998</v>
      </c>
      <c r="N31" s="259">
        <f>F31+'T6A_FG_Upy_Utlsn '!F31</f>
        <v>2255.12</v>
      </c>
      <c r="O31" s="259">
        <v>1383.75</v>
      </c>
      <c r="P31" s="259">
        <f t="shared" si="1"/>
        <v>0</v>
      </c>
      <c r="Q31" s="259">
        <v>1383.7073</v>
      </c>
      <c r="R31" s="259">
        <f t="shared" si="2"/>
        <v>0.042699999999967986</v>
      </c>
    </row>
    <row r="32" spans="1:18" ht="12.75">
      <c r="A32" s="14">
        <v>21</v>
      </c>
      <c r="B32" s="224" t="s">
        <v>851</v>
      </c>
      <c r="C32" s="228">
        <v>2338.5526</v>
      </c>
      <c r="D32" s="228">
        <v>-110.17999999999984</v>
      </c>
      <c r="E32" s="228">
        <v>1946</v>
      </c>
      <c r="F32" s="228">
        <v>2381.3770000000004</v>
      </c>
      <c r="G32" s="228">
        <f t="shared" si="0"/>
        <v>-545.5570000000002</v>
      </c>
      <c r="H32" s="708"/>
      <c r="I32" s="709"/>
      <c r="J32" s="709"/>
      <c r="K32" s="709"/>
      <c r="L32" s="710"/>
      <c r="M32" s="259">
        <f>C32+'T6A_FG_Upy_Utlsn '!C32</f>
        <v>3551.3611</v>
      </c>
      <c r="N32" s="259">
        <f>F32+'T6A_FG_Upy_Utlsn '!F32</f>
        <v>3475.4670000000006</v>
      </c>
      <c r="O32" s="259">
        <v>2381.3770000000004</v>
      </c>
      <c r="P32" s="259">
        <f t="shared" si="1"/>
        <v>0</v>
      </c>
      <c r="Q32" s="259">
        <v>2381.376</v>
      </c>
      <c r="R32" s="259">
        <f t="shared" si="2"/>
        <v>0.0010000000002037268</v>
      </c>
    </row>
    <row r="33" spans="1:18" ht="12.75">
      <c r="A33" s="14">
        <v>22</v>
      </c>
      <c r="B33" s="224" t="s">
        <v>852</v>
      </c>
      <c r="C33" s="228">
        <v>1786.0518000000002</v>
      </c>
      <c r="D33" s="228">
        <v>-220.3221000000001</v>
      </c>
      <c r="E33" s="228">
        <v>1515.65</v>
      </c>
      <c r="F33" s="228">
        <v>1688.16</v>
      </c>
      <c r="G33" s="228">
        <f t="shared" si="0"/>
        <v>-392.8321000000001</v>
      </c>
      <c r="H33" s="708"/>
      <c r="I33" s="709"/>
      <c r="J33" s="709"/>
      <c r="K33" s="709"/>
      <c r="L33" s="710"/>
      <c r="M33" s="259">
        <f>C33+'T6A_FG_Upy_Utlsn '!C33</f>
        <v>2775.8589</v>
      </c>
      <c r="N33" s="259">
        <f>F33+'T6A_FG_Upy_Utlsn '!F33</f>
        <v>2449.2749999999996</v>
      </c>
      <c r="O33" s="259">
        <v>1688.16</v>
      </c>
      <c r="P33" s="259">
        <f t="shared" si="1"/>
        <v>0</v>
      </c>
      <c r="Q33" s="259">
        <v>1678.818</v>
      </c>
      <c r="R33" s="259">
        <f t="shared" si="2"/>
        <v>9.342000000000098</v>
      </c>
    </row>
    <row r="34" spans="1:18" ht="12.75">
      <c r="A34" s="14">
        <v>23</v>
      </c>
      <c r="B34" s="224" t="s">
        <v>853</v>
      </c>
      <c r="C34" s="228">
        <v>2527.681</v>
      </c>
      <c r="D34" s="228">
        <v>42.01469999999881</v>
      </c>
      <c r="E34" s="228">
        <v>2246.55</v>
      </c>
      <c r="F34" s="228">
        <v>2657.8426</v>
      </c>
      <c r="G34" s="228">
        <f t="shared" si="0"/>
        <v>-369.27790000000095</v>
      </c>
      <c r="H34" s="708"/>
      <c r="I34" s="709"/>
      <c r="J34" s="709"/>
      <c r="K34" s="709"/>
      <c r="L34" s="710"/>
      <c r="M34" s="259">
        <f>C34+'T6A_FG_Upy_Utlsn '!C34</f>
        <v>4075.5716</v>
      </c>
      <c r="N34" s="259">
        <f>F34+'T6A_FG_Upy_Utlsn '!F34</f>
        <v>4158.3686</v>
      </c>
      <c r="O34" s="259">
        <v>2657.8426</v>
      </c>
      <c r="P34" s="259">
        <f t="shared" si="1"/>
        <v>0</v>
      </c>
      <c r="Q34" s="259">
        <v>2657.8462</v>
      </c>
      <c r="R34" s="259">
        <f t="shared" si="2"/>
        <v>-0.0036000000000058208</v>
      </c>
    </row>
    <row r="35" spans="1:18" ht="12.75">
      <c r="A35" s="14">
        <v>24</v>
      </c>
      <c r="B35" s="224" t="s">
        <v>854</v>
      </c>
      <c r="C35" s="228">
        <v>2405.5578</v>
      </c>
      <c r="D35" s="228">
        <v>443.71550000000025</v>
      </c>
      <c r="E35" s="228">
        <v>2075.8599999999997</v>
      </c>
      <c r="F35" s="228">
        <v>2487.4900000000002</v>
      </c>
      <c r="G35" s="228">
        <f t="shared" si="0"/>
        <v>32.08549999999968</v>
      </c>
      <c r="H35" s="708"/>
      <c r="I35" s="709"/>
      <c r="J35" s="709"/>
      <c r="K35" s="709"/>
      <c r="L35" s="710"/>
      <c r="M35" s="259">
        <f>C35+'T6A_FG_Upy_Utlsn '!C35</f>
        <v>4186.2375</v>
      </c>
      <c r="N35" s="259">
        <f>F35+'T6A_FG_Upy_Utlsn '!F35</f>
        <v>4288.05</v>
      </c>
      <c r="O35" s="259">
        <v>2487.4900000000002</v>
      </c>
      <c r="P35" s="259">
        <f t="shared" si="1"/>
        <v>0</v>
      </c>
      <c r="Q35" s="259">
        <v>2487.4771</v>
      </c>
      <c r="R35" s="259">
        <f t="shared" si="2"/>
        <v>0.01290000000017244</v>
      </c>
    </row>
    <row r="36" spans="1:18" s="11" customFormat="1" ht="12.75">
      <c r="A36" s="560" t="s">
        <v>13</v>
      </c>
      <c r="B36" s="561"/>
      <c r="C36" s="229">
        <f>SUM(C12:C35)</f>
        <v>52417.446599999996</v>
      </c>
      <c r="D36" s="229">
        <f>SUM(D12:D35)</f>
        <v>4074.2941999999985</v>
      </c>
      <c r="E36" s="229">
        <f>SUM(E12:E35)</f>
        <v>48343.170000000006</v>
      </c>
      <c r="F36" s="229">
        <f>SUM(F12:F35)</f>
        <v>53081.76163100001</v>
      </c>
      <c r="G36" s="229">
        <f>SUM(G12:G35)</f>
        <v>-664.2974310000017</v>
      </c>
      <c r="H36" s="711"/>
      <c r="I36" s="712"/>
      <c r="J36" s="712"/>
      <c r="K36" s="712"/>
      <c r="L36" s="713"/>
      <c r="Q36" s="257">
        <f>SUM(Q12:Q35)</f>
        <v>53191.4549</v>
      </c>
      <c r="R36" s="257">
        <f>Q36-F36</f>
        <v>109.6932689999885</v>
      </c>
    </row>
    <row r="37" spans="1:12" ht="12.75">
      <c r="A37" s="16" t="s">
        <v>745</v>
      </c>
      <c r="B37" s="17"/>
      <c r="C37" s="17"/>
      <c r="D37" s="17"/>
      <c r="E37" s="17"/>
      <c r="F37" s="17"/>
      <c r="G37" s="17"/>
      <c r="H37" s="17"/>
      <c r="I37" s="17"/>
      <c r="J37" s="17"/>
      <c r="K37" s="17"/>
      <c r="L37" s="17"/>
    </row>
    <row r="38" spans="1:12" s="239" customFormat="1" ht="12.75">
      <c r="A38" s="238"/>
      <c r="B38" s="238"/>
      <c r="C38" s="238"/>
      <c r="D38" s="238"/>
      <c r="E38" s="238"/>
      <c r="F38" s="238"/>
      <c r="G38" s="238"/>
      <c r="H38" s="238"/>
      <c r="I38" s="238"/>
      <c r="J38" s="238"/>
      <c r="K38" s="238"/>
      <c r="L38" s="238"/>
    </row>
    <row r="39" spans="1:12" s="239" customFormat="1" ht="12.75" customHeight="1">
      <c r="A39" s="237"/>
      <c r="B39" s="237"/>
      <c r="C39" s="237"/>
      <c r="D39" s="237"/>
      <c r="E39" s="237"/>
      <c r="F39" s="237"/>
      <c r="G39" s="237"/>
      <c r="H39" s="237"/>
      <c r="I39" s="237"/>
      <c r="J39" s="237"/>
      <c r="K39" s="237"/>
      <c r="L39" s="237"/>
    </row>
    <row r="40" spans="1:12" s="239" customFormat="1" ht="12.75" customHeight="1">
      <c r="A40" s="237"/>
      <c r="B40" s="237"/>
      <c r="C40" s="237"/>
      <c r="D40" s="237"/>
      <c r="E40" s="237"/>
      <c r="F40" s="237"/>
      <c r="G40" s="237"/>
      <c r="H40" s="237"/>
      <c r="I40" s="237"/>
      <c r="J40" s="237"/>
      <c r="K40" s="237"/>
      <c r="L40" s="237"/>
    </row>
    <row r="41" spans="1:12" s="239" customFormat="1" ht="12.75" customHeight="1">
      <c r="A41" s="559" t="s">
        <v>989</v>
      </c>
      <c r="B41" s="559"/>
      <c r="C41" s="559"/>
      <c r="D41" s="12"/>
      <c r="F41" s="559" t="s">
        <v>990</v>
      </c>
      <c r="G41" s="559"/>
      <c r="I41" s="359"/>
      <c r="J41" s="559" t="s">
        <v>996</v>
      </c>
      <c r="K41" s="559"/>
      <c r="L41" s="559"/>
    </row>
    <row r="42" spans="1:12" s="239" customFormat="1" ht="12.75" customHeight="1">
      <c r="A42" s="559" t="s">
        <v>991</v>
      </c>
      <c r="B42" s="559"/>
      <c r="C42" s="559"/>
      <c r="D42" s="12"/>
      <c r="F42" s="559" t="s">
        <v>992</v>
      </c>
      <c r="G42" s="559"/>
      <c r="I42" s="359"/>
      <c r="J42" s="559" t="s">
        <v>993</v>
      </c>
      <c r="K42" s="559"/>
      <c r="L42" s="559"/>
    </row>
    <row r="43" spans="1:12" s="239" customFormat="1" ht="12.75">
      <c r="A43" s="559" t="s">
        <v>994</v>
      </c>
      <c r="B43" s="559"/>
      <c r="C43" s="559"/>
      <c r="D43" s="12"/>
      <c r="F43" s="559" t="s">
        <v>995</v>
      </c>
      <c r="G43" s="559"/>
      <c r="I43" s="359"/>
      <c r="J43" s="559" t="s">
        <v>995</v>
      </c>
      <c r="K43" s="559"/>
      <c r="L43" s="559"/>
    </row>
    <row r="44" spans="1:12" ht="12.75">
      <c r="A44" s="687"/>
      <c r="B44" s="687"/>
      <c r="C44" s="687"/>
      <c r="D44" s="687"/>
      <c r="E44" s="687"/>
      <c r="F44" s="687"/>
      <c r="G44" s="687"/>
      <c r="H44" s="687"/>
      <c r="I44" s="687"/>
      <c r="J44" s="687"/>
      <c r="K44" s="687"/>
      <c r="L44" s="687"/>
    </row>
    <row r="49" ht="12.75">
      <c r="I49" s="12" t="s">
        <v>9</v>
      </c>
    </row>
  </sheetData>
  <sheetProtection/>
  <mergeCells count="23">
    <mergeCell ref="A44:L44"/>
    <mergeCell ref="F7:L7"/>
    <mergeCell ref="A9:A10"/>
    <mergeCell ref="B9:B10"/>
    <mergeCell ref="C9:G9"/>
    <mergeCell ref="H9:L9"/>
    <mergeCell ref="I8:L8"/>
    <mergeCell ref="A43:C43"/>
    <mergeCell ref="A42:C42"/>
    <mergeCell ref="A41:C41"/>
    <mergeCell ref="L1:M1"/>
    <mergeCell ref="A3:L3"/>
    <mergeCell ref="A2:L2"/>
    <mergeCell ref="A5:L5"/>
    <mergeCell ref="A7:B7"/>
    <mergeCell ref="A36:B36"/>
    <mergeCell ref="H12:L36"/>
    <mergeCell ref="J41:L41"/>
    <mergeCell ref="J42:L42"/>
    <mergeCell ref="J43:L43"/>
    <mergeCell ref="F41:G41"/>
    <mergeCell ref="F42:G42"/>
    <mergeCell ref="F43:G4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1" r:id="rId1"/>
  <rowBreaks count="1" manualBreakCount="1">
    <brk id="4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5"/>
  <sheetViews>
    <sheetView view="pageBreakPreview" zoomScale="120" zoomScaleSheetLayoutView="120" zoomScalePageLayoutView="0" workbookViewId="0" topLeftCell="A31">
      <selection activeCell="C51" sqref="C51"/>
    </sheetView>
  </sheetViews>
  <sheetFormatPr defaultColWidth="9.140625" defaultRowHeight="12.75"/>
  <cols>
    <col min="1" max="1" width="8.7109375" style="0" customWidth="1"/>
    <col min="2" max="2" width="11.00390625" style="0" customWidth="1"/>
    <col min="3" max="3" width="114.57421875" style="0" customWidth="1"/>
  </cols>
  <sheetData>
    <row r="1" spans="1:7" ht="21.75" customHeight="1">
      <c r="A1" s="557" t="s">
        <v>561</v>
      </c>
      <c r="B1" s="557"/>
      <c r="C1" s="557"/>
      <c r="D1" s="557"/>
      <c r="E1" s="190"/>
      <c r="F1" s="190"/>
      <c r="G1" s="190"/>
    </row>
    <row r="2" spans="1:3" ht="12.75">
      <c r="A2" s="3" t="s">
        <v>68</v>
      </c>
      <c r="B2" s="3" t="s">
        <v>562</v>
      </c>
      <c r="C2" s="3" t="s">
        <v>563</v>
      </c>
    </row>
    <row r="3" spans="1:3" ht="12.75">
      <c r="A3" s="8">
        <v>1</v>
      </c>
      <c r="B3" s="191" t="s">
        <v>564</v>
      </c>
      <c r="C3" s="191" t="s">
        <v>781</v>
      </c>
    </row>
    <row r="4" spans="1:3" ht="12.75">
      <c r="A4" s="8">
        <v>2</v>
      </c>
      <c r="B4" s="191" t="s">
        <v>565</v>
      </c>
      <c r="C4" s="191" t="s">
        <v>782</v>
      </c>
    </row>
    <row r="5" spans="1:3" ht="12.75">
      <c r="A5" s="8">
        <v>3</v>
      </c>
      <c r="B5" s="191" t="s">
        <v>566</v>
      </c>
      <c r="C5" s="191" t="s">
        <v>783</v>
      </c>
    </row>
    <row r="6" spans="1:3" ht="12.75">
      <c r="A6" s="8">
        <v>4</v>
      </c>
      <c r="B6" s="191" t="s">
        <v>567</v>
      </c>
      <c r="C6" s="191" t="s">
        <v>784</v>
      </c>
    </row>
    <row r="7" spans="1:3" ht="12.75">
      <c r="A7" s="8">
        <v>5</v>
      </c>
      <c r="B7" s="191" t="s">
        <v>568</v>
      </c>
      <c r="C7" s="191" t="s">
        <v>785</v>
      </c>
    </row>
    <row r="8" spans="1:3" ht="12.75">
      <c r="A8" s="8">
        <v>6</v>
      </c>
      <c r="B8" s="191" t="s">
        <v>569</v>
      </c>
      <c r="C8" s="191" t="s">
        <v>786</v>
      </c>
    </row>
    <row r="9" spans="1:3" ht="12.75">
      <c r="A9" s="8">
        <v>7</v>
      </c>
      <c r="B9" s="191" t="s">
        <v>570</v>
      </c>
      <c r="C9" s="191" t="s">
        <v>787</v>
      </c>
    </row>
    <row r="10" spans="1:3" ht="12.75">
      <c r="A10" s="8">
        <v>8</v>
      </c>
      <c r="B10" s="191" t="s">
        <v>571</v>
      </c>
      <c r="C10" s="191" t="s">
        <v>788</v>
      </c>
    </row>
    <row r="11" spans="1:3" ht="12.75">
      <c r="A11" s="8">
        <v>9</v>
      </c>
      <c r="B11" s="191" t="s">
        <v>572</v>
      </c>
      <c r="C11" s="191" t="s">
        <v>573</v>
      </c>
    </row>
    <row r="12" spans="1:3" ht="12.75">
      <c r="A12" s="8">
        <v>10</v>
      </c>
      <c r="B12" s="191" t="s">
        <v>775</v>
      </c>
      <c r="C12" s="191" t="s">
        <v>776</v>
      </c>
    </row>
    <row r="13" spans="1:3" ht="12.75">
      <c r="A13" s="8">
        <v>11</v>
      </c>
      <c r="B13" s="191" t="s">
        <v>574</v>
      </c>
      <c r="C13" s="191" t="s">
        <v>789</v>
      </c>
    </row>
    <row r="14" spans="1:3" ht="12.75">
      <c r="A14" s="8">
        <v>12</v>
      </c>
      <c r="B14" s="191" t="s">
        <v>575</v>
      </c>
      <c r="C14" s="191" t="s">
        <v>790</v>
      </c>
    </row>
    <row r="15" spans="1:3" ht="12.75">
      <c r="A15" s="8">
        <v>13</v>
      </c>
      <c r="B15" s="191" t="s">
        <v>576</v>
      </c>
      <c r="C15" s="191" t="s">
        <v>791</v>
      </c>
    </row>
    <row r="16" spans="1:3" ht="12.75">
      <c r="A16" s="8">
        <v>14</v>
      </c>
      <c r="B16" s="191" t="s">
        <v>577</v>
      </c>
      <c r="C16" s="191" t="s">
        <v>792</v>
      </c>
    </row>
    <row r="17" spans="1:3" ht="12.75">
      <c r="A17" s="8">
        <v>15</v>
      </c>
      <c r="B17" s="191" t="s">
        <v>578</v>
      </c>
      <c r="C17" s="191" t="s">
        <v>780</v>
      </c>
    </row>
    <row r="18" spans="1:3" ht="12.75">
      <c r="A18" s="8">
        <v>16</v>
      </c>
      <c r="B18" s="191" t="s">
        <v>579</v>
      </c>
      <c r="C18" s="191" t="s">
        <v>793</v>
      </c>
    </row>
    <row r="19" spans="1:3" ht="12.75">
      <c r="A19" s="8">
        <v>17</v>
      </c>
      <c r="B19" s="191" t="s">
        <v>580</v>
      </c>
      <c r="C19" s="191" t="s">
        <v>794</v>
      </c>
    </row>
    <row r="20" spans="1:3" ht="12.75">
      <c r="A20" s="8">
        <v>18</v>
      </c>
      <c r="B20" s="191" t="s">
        <v>581</v>
      </c>
      <c r="C20" s="191" t="s">
        <v>795</v>
      </c>
    </row>
    <row r="21" spans="1:3" ht="12.75">
      <c r="A21" s="8">
        <v>19</v>
      </c>
      <c r="B21" s="191" t="s">
        <v>582</v>
      </c>
      <c r="C21" s="191" t="s">
        <v>796</v>
      </c>
    </row>
    <row r="22" spans="1:3" ht="12.75">
      <c r="A22" s="8">
        <v>20</v>
      </c>
      <c r="B22" s="191" t="s">
        <v>583</v>
      </c>
      <c r="C22" s="191" t="s">
        <v>797</v>
      </c>
    </row>
    <row r="23" spans="1:3" ht="12.75">
      <c r="A23" s="8">
        <v>21</v>
      </c>
      <c r="B23" s="191" t="s">
        <v>584</v>
      </c>
      <c r="C23" s="191" t="s">
        <v>798</v>
      </c>
    </row>
    <row r="24" spans="1:3" ht="12.75">
      <c r="A24" s="8">
        <v>22</v>
      </c>
      <c r="B24" s="191" t="s">
        <v>585</v>
      </c>
      <c r="C24" s="191" t="s">
        <v>586</v>
      </c>
    </row>
    <row r="25" spans="1:3" ht="12.75">
      <c r="A25" s="8">
        <v>23</v>
      </c>
      <c r="B25" s="191" t="s">
        <v>587</v>
      </c>
      <c r="C25" s="191" t="s">
        <v>588</v>
      </c>
    </row>
    <row r="26" spans="1:3" ht="12.75">
      <c r="A26" s="8">
        <v>24</v>
      </c>
      <c r="B26" s="191" t="s">
        <v>589</v>
      </c>
      <c r="C26" s="191" t="s">
        <v>799</v>
      </c>
    </row>
    <row r="27" spans="1:3" ht="12.75">
      <c r="A27" s="8">
        <v>25</v>
      </c>
      <c r="B27" s="191" t="s">
        <v>590</v>
      </c>
      <c r="C27" s="191" t="s">
        <v>800</v>
      </c>
    </row>
    <row r="28" spans="1:3" ht="12.75">
      <c r="A28" s="8">
        <v>26</v>
      </c>
      <c r="B28" s="191" t="s">
        <v>591</v>
      </c>
      <c r="C28" s="191" t="s">
        <v>801</v>
      </c>
    </row>
    <row r="29" spans="1:3" ht="12.75">
      <c r="A29" s="8">
        <v>27</v>
      </c>
      <c r="B29" s="191" t="s">
        <v>592</v>
      </c>
      <c r="C29" s="191" t="s">
        <v>593</v>
      </c>
    </row>
    <row r="30" spans="1:3" ht="12.75">
      <c r="A30" s="8">
        <v>28</v>
      </c>
      <c r="B30" s="191" t="s">
        <v>594</v>
      </c>
      <c r="C30" s="191" t="s">
        <v>595</v>
      </c>
    </row>
    <row r="31" spans="1:3" ht="12.75">
      <c r="A31" s="8">
        <v>29</v>
      </c>
      <c r="B31" s="191" t="s">
        <v>596</v>
      </c>
      <c r="C31" s="191" t="s">
        <v>597</v>
      </c>
    </row>
    <row r="32" spans="1:3" ht="12.75">
      <c r="A32" s="8">
        <v>30</v>
      </c>
      <c r="B32" s="191" t="s">
        <v>774</v>
      </c>
      <c r="C32" s="191" t="s">
        <v>773</v>
      </c>
    </row>
    <row r="33" spans="1:3" ht="12.75">
      <c r="A33" s="8">
        <v>31</v>
      </c>
      <c r="B33" s="191" t="s">
        <v>598</v>
      </c>
      <c r="C33" s="191" t="s">
        <v>599</v>
      </c>
    </row>
    <row r="34" spans="1:3" ht="12.75">
      <c r="A34" s="8">
        <v>32</v>
      </c>
      <c r="B34" s="191" t="s">
        <v>600</v>
      </c>
      <c r="C34" s="191" t="s">
        <v>599</v>
      </c>
    </row>
    <row r="35" spans="1:3" ht="12.75">
      <c r="A35" s="8">
        <v>33</v>
      </c>
      <c r="B35" s="191" t="s">
        <v>601</v>
      </c>
      <c r="C35" s="191" t="s">
        <v>602</v>
      </c>
    </row>
    <row r="36" spans="1:3" ht="12.75">
      <c r="A36" s="8">
        <v>34</v>
      </c>
      <c r="B36" s="191" t="s">
        <v>603</v>
      </c>
      <c r="C36" s="191" t="s">
        <v>604</v>
      </c>
    </row>
    <row r="37" spans="1:3" ht="12.75">
      <c r="A37" s="8">
        <v>35</v>
      </c>
      <c r="B37" s="191" t="s">
        <v>605</v>
      </c>
      <c r="C37" s="191" t="s">
        <v>606</v>
      </c>
    </row>
    <row r="38" spans="1:3" ht="12.75">
      <c r="A38" s="8">
        <v>36</v>
      </c>
      <c r="B38" s="191" t="s">
        <v>607</v>
      </c>
      <c r="C38" s="191" t="s">
        <v>608</v>
      </c>
    </row>
    <row r="39" spans="1:3" ht="12.75">
      <c r="A39" s="8">
        <v>37</v>
      </c>
      <c r="B39" s="191" t="s">
        <v>609</v>
      </c>
      <c r="C39" s="191" t="s">
        <v>610</v>
      </c>
    </row>
    <row r="40" spans="1:3" ht="12.75">
      <c r="A40" s="8">
        <v>38</v>
      </c>
      <c r="B40" s="191" t="s">
        <v>611</v>
      </c>
      <c r="C40" s="191" t="s">
        <v>612</v>
      </c>
    </row>
    <row r="41" spans="1:3" ht="12.75">
      <c r="A41" s="8">
        <v>39</v>
      </c>
      <c r="B41" s="191" t="s">
        <v>613</v>
      </c>
      <c r="C41" s="191" t="s">
        <v>614</v>
      </c>
    </row>
    <row r="42" spans="1:3" ht="12.75">
      <c r="A42" s="8">
        <v>40</v>
      </c>
      <c r="B42" s="191" t="s">
        <v>615</v>
      </c>
      <c r="C42" s="191" t="s">
        <v>802</v>
      </c>
    </row>
    <row r="43" spans="1:3" ht="12.75">
      <c r="A43" s="8">
        <v>41</v>
      </c>
      <c r="B43" s="191" t="s">
        <v>616</v>
      </c>
      <c r="C43" s="191" t="s">
        <v>617</v>
      </c>
    </row>
    <row r="44" spans="1:3" ht="12.75">
      <c r="A44" s="8">
        <v>42</v>
      </c>
      <c r="B44" s="191" t="s">
        <v>618</v>
      </c>
      <c r="C44" s="191" t="s">
        <v>619</v>
      </c>
    </row>
    <row r="45" spans="1:3" ht="12.75">
      <c r="A45" s="8">
        <v>43</v>
      </c>
      <c r="B45" s="191" t="s">
        <v>620</v>
      </c>
      <c r="C45" s="191" t="s">
        <v>621</v>
      </c>
    </row>
    <row r="46" spans="1:3" ht="12.75">
      <c r="A46" s="8">
        <v>44</v>
      </c>
      <c r="B46" s="191" t="s">
        <v>622</v>
      </c>
      <c r="C46" s="191" t="s">
        <v>623</v>
      </c>
    </row>
    <row r="47" spans="1:3" ht="12.75">
      <c r="A47" s="8">
        <v>45</v>
      </c>
      <c r="B47" s="191" t="s">
        <v>624</v>
      </c>
      <c r="C47" s="191" t="s">
        <v>625</v>
      </c>
    </row>
    <row r="48" spans="1:3" ht="12.75">
      <c r="A48" s="8">
        <v>46</v>
      </c>
      <c r="B48" s="191" t="s">
        <v>626</v>
      </c>
      <c r="C48" s="191" t="s">
        <v>803</v>
      </c>
    </row>
    <row r="49" spans="1:3" ht="12.75">
      <c r="A49" s="8">
        <v>47</v>
      </c>
      <c r="B49" s="191" t="s">
        <v>627</v>
      </c>
      <c r="C49" s="191" t="s">
        <v>804</v>
      </c>
    </row>
    <row r="50" spans="1:3" ht="12.75">
      <c r="A50" s="8">
        <v>48</v>
      </c>
      <c r="B50" s="191" t="s">
        <v>628</v>
      </c>
      <c r="C50" s="191" t="s">
        <v>629</v>
      </c>
    </row>
    <row r="51" spans="1:3" ht="12.75">
      <c r="A51" s="8">
        <v>49</v>
      </c>
      <c r="B51" s="191" t="s">
        <v>630</v>
      </c>
      <c r="C51" s="191" t="s">
        <v>631</v>
      </c>
    </row>
    <row r="52" spans="1:3" ht="12.75">
      <c r="A52" s="8">
        <v>50</v>
      </c>
      <c r="B52" s="191" t="s">
        <v>632</v>
      </c>
      <c r="C52" s="191" t="s">
        <v>633</v>
      </c>
    </row>
    <row r="53" spans="1:3" ht="12.75">
      <c r="A53" s="8">
        <v>51</v>
      </c>
      <c r="B53" s="191" t="s">
        <v>634</v>
      </c>
      <c r="C53" s="191" t="s">
        <v>805</v>
      </c>
    </row>
    <row r="54" spans="1:3" ht="12.75">
      <c r="A54" s="8">
        <v>52</v>
      </c>
      <c r="B54" s="191" t="s">
        <v>635</v>
      </c>
      <c r="C54" s="191" t="s">
        <v>806</v>
      </c>
    </row>
    <row r="55" spans="1:3" ht="12.75">
      <c r="A55" s="8">
        <v>53</v>
      </c>
      <c r="B55" s="191" t="s">
        <v>636</v>
      </c>
      <c r="C55" s="191" t="s">
        <v>807</v>
      </c>
    </row>
    <row r="56" spans="1:3" ht="12.75">
      <c r="A56" s="8">
        <v>54</v>
      </c>
      <c r="B56" s="191" t="s">
        <v>637</v>
      </c>
      <c r="C56" s="191" t="s">
        <v>808</v>
      </c>
    </row>
    <row r="57" spans="1:3" ht="12.75">
      <c r="A57" s="8">
        <v>55</v>
      </c>
      <c r="B57" s="191" t="s">
        <v>638</v>
      </c>
      <c r="C57" s="191" t="s">
        <v>809</v>
      </c>
    </row>
    <row r="58" spans="1:3" ht="12.75">
      <c r="A58" s="8">
        <v>56</v>
      </c>
      <c r="B58" s="191" t="s">
        <v>639</v>
      </c>
      <c r="C58" s="191" t="s">
        <v>810</v>
      </c>
    </row>
    <row r="59" spans="1:3" ht="12.75">
      <c r="A59" s="8">
        <v>57</v>
      </c>
      <c r="B59" s="191" t="s">
        <v>640</v>
      </c>
      <c r="C59" s="191" t="s">
        <v>811</v>
      </c>
    </row>
    <row r="60" spans="1:3" ht="12.75">
      <c r="A60" s="8">
        <v>58</v>
      </c>
      <c r="B60" s="191" t="s">
        <v>641</v>
      </c>
      <c r="C60" s="191" t="s">
        <v>812</v>
      </c>
    </row>
    <row r="61" spans="1:3" ht="12.75">
      <c r="A61" s="8">
        <v>59</v>
      </c>
      <c r="B61" s="191" t="s">
        <v>642</v>
      </c>
      <c r="C61" s="191" t="s">
        <v>813</v>
      </c>
    </row>
    <row r="62" spans="1:3" ht="12.75">
      <c r="A62" s="8">
        <v>60</v>
      </c>
      <c r="B62" s="191" t="s">
        <v>643</v>
      </c>
      <c r="C62" s="191" t="s">
        <v>814</v>
      </c>
    </row>
    <row r="63" spans="1:3" ht="12.75">
      <c r="A63" s="8">
        <v>61</v>
      </c>
      <c r="B63" s="191" t="s">
        <v>644</v>
      </c>
      <c r="C63" s="191" t="s">
        <v>815</v>
      </c>
    </row>
    <row r="64" spans="1:3" ht="12.75">
      <c r="A64" s="8">
        <v>62</v>
      </c>
      <c r="B64" s="205" t="s">
        <v>777</v>
      </c>
      <c r="C64" s="205" t="s">
        <v>778</v>
      </c>
    </row>
    <row r="65" spans="1:3" ht="12.75">
      <c r="A65" s="8">
        <v>63</v>
      </c>
      <c r="B65" s="205" t="s">
        <v>779</v>
      </c>
      <c r="C65" s="205" t="s">
        <v>780</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S45"/>
  <sheetViews>
    <sheetView view="pageBreakPreview" zoomScale="70" zoomScaleSheetLayoutView="70" zoomScalePageLayoutView="0" workbookViewId="0" topLeftCell="A1">
      <selection activeCell="F39" sqref="F39"/>
    </sheetView>
  </sheetViews>
  <sheetFormatPr defaultColWidth="9.140625" defaultRowHeight="12.75"/>
  <cols>
    <col min="1" max="1" width="6.00390625" style="12" customWidth="1"/>
    <col min="2" max="2" width="15.421875" style="12" bestFit="1" customWidth="1"/>
    <col min="3" max="5" width="12.421875" style="12" customWidth="1"/>
    <col min="6" max="6" width="12.8515625" style="12" customWidth="1"/>
    <col min="7" max="7" width="12.7109375" style="12" customWidth="1"/>
    <col min="8" max="8" width="12.421875" style="12" customWidth="1"/>
    <col min="9" max="10" width="12.140625" style="12" customWidth="1"/>
    <col min="11" max="11" width="12.00390625" style="12" customWidth="1"/>
    <col min="12" max="12" width="13.7109375" style="12" customWidth="1"/>
    <col min="13" max="13" width="9.140625" style="12" hidden="1" customWidth="1"/>
    <col min="14" max="16384" width="9.140625" style="12" customWidth="1"/>
  </cols>
  <sheetData>
    <row r="1" spans="4:16" ht="15">
      <c r="D1" s="29"/>
      <c r="E1" s="29"/>
      <c r="F1" s="29"/>
      <c r="G1" s="29"/>
      <c r="H1" s="29"/>
      <c r="I1" s="29"/>
      <c r="J1" s="29"/>
      <c r="K1" s="29"/>
      <c r="L1" s="704" t="s">
        <v>66</v>
      </c>
      <c r="M1" s="704"/>
      <c r="N1" s="704"/>
      <c r="O1" s="36"/>
      <c r="P1" s="36"/>
    </row>
    <row r="2" spans="1:16" ht="15">
      <c r="A2" s="684" t="s">
        <v>0</v>
      </c>
      <c r="B2" s="684"/>
      <c r="C2" s="684"/>
      <c r="D2" s="684"/>
      <c r="E2" s="684"/>
      <c r="F2" s="684"/>
      <c r="G2" s="684"/>
      <c r="H2" s="684"/>
      <c r="I2" s="684"/>
      <c r="J2" s="684"/>
      <c r="K2" s="684"/>
      <c r="L2" s="684"/>
      <c r="M2" s="38"/>
      <c r="N2" s="38"/>
      <c r="O2" s="38"/>
      <c r="P2" s="38"/>
    </row>
    <row r="3" spans="1:16" ht="20.25">
      <c r="A3" s="715" t="s">
        <v>645</v>
      </c>
      <c r="B3" s="715"/>
      <c r="C3" s="715"/>
      <c r="D3" s="715"/>
      <c r="E3" s="715"/>
      <c r="F3" s="715"/>
      <c r="G3" s="715"/>
      <c r="H3" s="715"/>
      <c r="I3" s="715"/>
      <c r="J3" s="715"/>
      <c r="K3" s="715"/>
      <c r="L3" s="715"/>
      <c r="M3" s="37"/>
      <c r="N3" s="37"/>
      <c r="O3" s="37"/>
      <c r="P3" s="37"/>
    </row>
    <row r="5" spans="1:12" ht="15.75">
      <c r="A5" s="691" t="s">
        <v>748</v>
      </c>
      <c r="B5" s="691"/>
      <c r="C5" s="691"/>
      <c r="D5" s="691"/>
      <c r="E5" s="691"/>
      <c r="F5" s="691"/>
      <c r="G5" s="691"/>
      <c r="H5" s="691"/>
      <c r="I5" s="691"/>
      <c r="J5" s="691"/>
      <c r="K5" s="691"/>
      <c r="L5" s="691"/>
    </row>
    <row r="6" spans="1:12" ht="12.75">
      <c r="A6" s="18"/>
      <c r="B6" s="18"/>
      <c r="C6" s="18"/>
      <c r="D6" s="18"/>
      <c r="E6" s="18"/>
      <c r="F6" s="18"/>
      <c r="G6" s="18"/>
      <c r="H6" s="18"/>
      <c r="I6" s="18"/>
      <c r="J6" s="18"/>
      <c r="K6" s="18"/>
      <c r="L6" s="18"/>
    </row>
    <row r="7" spans="1:12" ht="12.75">
      <c r="A7" s="593" t="s">
        <v>956</v>
      </c>
      <c r="B7" s="593"/>
      <c r="F7" s="714" t="s">
        <v>14</v>
      </c>
      <c r="G7" s="714"/>
      <c r="H7" s="714"/>
      <c r="I7" s="714"/>
      <c r="J7" s="714"/>
      <c r="K7" s="714"/>
      <c r="L7" s="714"/>
    </row>
    <row r="8" spans="1:12" ht="12.75">
      <c r="A8" s="11"/>
      <c r="F8" s="13"/>
      <c r="G8" s="79"/>
      <c r="H8" s="79"/>
      <c r="I8" s="689" t="s">
        <v>959</v>
      </c>
      <c r="J8" s="689"/>
      <c r="K8" s="689"/>
      <c r="L8" s="689"/>
    </row>
    <row r="9" spans="1:19" s="11" customFormat="1" ht="12.75">
      <c r="A9" s="573" t="s">
        <v>1</v>
      </c>
      <c r="B9" s="573" t="s">
        <v>2</v>
      </c>
      <c r="C9" s="574" t="s">
        <v>15</v>
      </c>
      <c r="D9" s="625"/>
      <c r="E9" s="625"/>
      <c r="F9" s="625"/>
      <c r="G9" s="625"/>
      <c r="H9" s="574" t="s">
        <v>36</v>
      </c>
      <c r="I9" s="625"/>
      <c r="J9" s="625"/>
      <c r="K9" s="625"/>
      <c r="L9" s="625"/>
      <c r="R9" s="23"/>
      <c r="S9" s="24"/>
    </row>
    <row r="10" spans="1:12" s="11" customFormat="1" ht="77.25" customHeight="1">
      <c r="A10" s="573"/>
      <c r="B10" s="573"/>
      <c r="C10" s="5" t="s">
        <v>665</v>
      </c>
      <c r="D10" s="5" t="s">
        <v>667</v>
      </c>
      <c r="E10" s="5" t="s">
        <v>64</v>
      </c>
      <c r="F10" s="5" t="s">
        <v>65</v>
      </c>
      <c r="G10" s="5" t="s">
        <v>746</v>
      </c>
      <c r="H10" s="5" t="s">
        <v>665</v>
      </c>
      <c r="I10" s="5" t="s">
        <v>667</v>
      </c>
      <c r="J10" s="5" t="s">
        <v>64</v>
      </c>
      <c r="K10" s="5" t="s">
        <v>65</v>
      </c>
      <c r="L10" s="5" t="s">
        <v>747</v>
      </c>
    </row>
    <row r="11" spans="1:12" s="11" customFormat="1" ht="12.75">
      <c r="A11" s="5">
        <v>1</v>
      </c>
      <c r="B11" s="5">
        <v>2</v>
      </c>
      <c r="C11" s="5">
        <v>3</v>
      </c>
      <c r="D11" s="5">
        <v>4</v>
      </c>
      <c r="E11" s="5">
        <v>5</v>
      </c>
      <c r="F11" s="5">
        <v>6</v>
      </c>
      <c r="G11" s="5">
        <v>7</v>
      </c>
      <c r="H11" s="5">
        <v>8</v>
      </c>
      <c r="I11" s="5">
        <v>9</v>
      </c>
      <c r="J11" s="5">
        <v>10</v>
      </c>
      <c r="K11" s="5">
        <v>11</v>
      </c>
      <c r="L11" s="5">
        <v>12</v>
      </c>
    </row>
    <row r="12" spans="1:15" ht="12.75">
      <c r="A12" s="14">
        <v>1</v>
      </c>
      <c r="B12" s="224" t="s">
        <v>831</v>
      </c>
      <c r="C12" s="228">
        <v>2298.3168</v>
      </c>
      <c r="D12" s="228">
        <v>274.7087499999998</v>
      </c>
      <c r="E12" s="228">
        <v>2284.33</v>
      </c>
      <c r="F12" s="228">
        <v>2101.023626</v>
      </c>
      <c r="G12" s="228">
        <f>D12+E12-F12</f>
        <v>458.01512399999956</v>
      </c>
      <c r="H12" s="705" t="s">
        <v>874</v>
      </c>
      <c r="I12" s="706"/>
      <c r="J12" s="706"/>
      <c r="K12" s="706"/>
      <c r="L12" s="707"/>
      <c r="N12" s="259">
        <v>2101.023626</v>
      </c>
      <c r="O12" s="259">
        <f>F12-N12</f>
        <v>0</v>
      </c>
    </row>
    <row r="13" spans="1:15" ht="12.75">
      <c r="A13" s="14">
        <v>2</v>
      </c>
      <c r="B13" s="224" t="s">
        <v>832</v>
      </c>
      <c r="C13" s="228">
        <v>720.2805</v>
      </c>
      <c r="D13" s="228">
        <v>5.276399999999967</v>
      </c>
      <c r="E13" s="228">
        <v>674.23</v>
      </c>
      <c r="F13" s="228">
        <v>623.9354500000001</v>
      </c>
      <c r="G13" s="228">
        <f aca="true" t="shared" si="0" ref="G13:G35">D13+E13-F13</f>
        <v>55.570949999999925</v>
      </c>
      <c r="H13" s="708"/>
      <c r="I13" s="709"/>
      <c r="J13" s="709"/>
      <c r="K13" s="709"/>
      <c r="L13" s="710"/>
      <c r="N13" s="259">
        <v>623.9354500000001</v>
      </c>
      <c r="O13" s="259">
        <f aca="true" t="shared" si="1" ref="O13:O35">F13-N13</f>
        <v>0</v>
      </c>
    </row>
    <row r="14" spans="1:15" ht="12.75">
      <c r="A14" s="14">
        <v>3</v>
      </c>
      <c r="B14" s="224" t="s">
        <v>833</v>
      </c>
      <c r="C14" s="228">
        <v>622.8588</v>
      </c>
      <c r="D14" s="228">
        <v>109.25019999999995</v>
      </c>
      <c r="E14" s="228">
        <v>597.41</v>
      </c>
      <c r="F14" s="228">
        <v>571.2961</v>
      </c>
      <c r="G14" s="228">
        <f t="shared" si="0"/>
        <v>135.3640999999999</v>
      </c>
      <c r="H14" s="708"/>
      <c r="I14" s="709"/>
      <c r="J14" s="709"/>
      <c r="K14" s="709"/>
      <c r="L14" s="710"/>
      <c r="N14" s="259">
        <v>571.2961</v>
      </c>
      <c r="O14" s="259">
        <f t="shared" si="1"/>
        <v>0</v>
      </c>
    </row>
    <row r="15" spans="1:15" ht="12.75">
      <c r="A15" s="14">
        <v>4</v>
      </c>
      <c r="B15" s="224" t="s">
        <v>834</v>
      </c>
      <c r="C15" s="228">
        <v>1403.223</v>
      </c>
      <c r="D15" s="228">
        <v>84.5290500000001</v>
      </c>
      <c r="E15" s="228">
        <v>1466.01</v>
      </c>
      <c r="F15" s="228">
        <v>1373.36175</v>
      </c>
      <c r="G15" s="228">
        <f t="shared" si="0"/>
        <v>177.17730000000006</v>
      </c>
      <c r="H15" s="708"/>
      <c r="I15" s="709"/>
      <c r="J15" s="709"/>
      <c r="K15" s="709"/>
      <c r="L15" s="710"/>
      <c r="N15" s="259">
        <v>1373.36175</v>
      </c>
      <c r="O15" s="259">
        <f t="shared" si="1"/>
        <v>0</v>
      </c>
    </row>
    <row r="16" spans="1:15" ht="12.75">
      <c r="A16" s="14">
        <v>5</v>
      </c>
      <c r="B16" s="224" t="s">
        <v>835</v>
      </c>
      <c r="C16" s="228">
        <v>835.0758</v>
      </c>
      <c r="D16" s="228">
        <v>-48.099950000000035</v>
      </c>
      <c r="E16" s="228">
        <v>774.4399999999999</v>
      </c>
      <c r="F16" s="228">
        <v>746.3427999999999</v>
      </c>
      <c r="G16" s="228">
        <f t="shared" si="0"/>
        <v>-20.002749999999992</v>
      </c>
      <c r="H16" s="708"/>
      <c r="I16" s="709"/>
      <c r="J16" s="709"/>
      <c r="K16" s="709"/>
      <c r="L16" s="710"/>
      <c r="N16" s="259">
        <v>746.3427999999999</v>
      </c>
      <c r="O16" s="259">
        <f t="shared" si="1"/>
        <v>0</v>
      </c>
    </row>
    <row r="17" spans="1:15" ht="12.75">
      <c r="A17" s="14">
        <v>6</v>
      </c>
      <c r="B17" s="224" t="s">
        <v>836</v>
      </c>
      <c r="C17" s="228">
        <v>1718.0051999999998</v>
      </c>
      <c r="D17" s="228">
        <v>-101.46024999999963</v>
      </c>
      <c r="E17" s="228">
        <v>1771.94</v>
      </c>
      <c r="F17" s="228">
        <v>1631.0038999999997</v>
      </c>
      <c r="G17" s="228">
        <f t="shared" si="0"/>
        <v>39.47585000000072</v>
      </c>
      <c r="H17" s="708"/>
      <c r="I17" s="709"/>
      <c r="J17" s="709"/>
      <c r="K17" s="709"/>
      <c r="L17" s="710"/>
      <c r="N17" s="259">
        <v>1631.0038999999997</v>
      </c>
      <c r="O17" s="259">
        <f t="shared" si="1"/>
        <v>0</v>
      </c>
    </row>
    <row r="18" spans="1:15" ht="12.75">
      <c r="A18" s="14">
        <v>7</v>
      </c>
      <c r="B18" s="224" t="s">
        <v>837</v>
      </c>
      <c r="C18" s="228">
        <v>1414.6148999999998</v>
      </c>
      <c r="D18" s="228">
        <v>46.24170000000004</v>
      </c>
      <c r="E18" s="228">
        <v>1316.6200000000001</v>
      </c>
      <c r="F18" s="228">
        <v>1389.6200000000001</v>
      </c>
      <c r="G18" s="228">
        <f t="shared" si="0"/>
        <v>-26.758299999999963</v>
      </c>
      <c r="H18" s="708"/>
      <c r="I18" s="709"/>
      <c r="J18" s="709"/>
      <c r="K18" s="709"/>
      <c r="L18" s="710"/>
      <c r="N18" s="259">
        <v>1389.6200000000001</v>
      </c>
      <c r="O18" s="259">
        <f t="shared" si="1"/>
        <v>0</v>
      </c>
    </row>
    <row r="19" spans="1:15" ht="12.75">
      <c r="A19" s="14">
        <v>8</v>
      </c>
      <c r="B19" s="224" t="s">
        <v>838</v>
      </c>
      <c r="C19" s="228">
        <v>2019.97995</v>
      </c>
      <c r="D19" s="228">
        <v>0.439750000000231</v>
      </c>
      <c r="E19" s="228">
        <v>1922.88</v>
      </c>
      <c r="F19" s="228">
        <v>1775.9669999999999</v>
      </c>
      <c r="G19" s="228">
        <f t="shared" si="0"/>
        <v>147.35275000000047</v>
      </c>
      <c r="H19" s="708"/>
      <c r="I19" s="709"/>
      <c r="J19" s="709"/>
      <c r="K19" s="709"/>
      <c r="L19" s="710"/>
      <c r="N19" s="259">
        <v>1775.9669999999999</v>
      </c>
      <c r="O19" s="259">
        <f t="shared" si="1"/>
        <v>0</v>
      </c>
    </row>
    <row r="20" spans="1:15" ht="12.75">
      <c r="A20" s="14">
        <v>9</v>
      </c>
      <c r="B20" s="224" t="s">
        <v>839</v>
      </c>
      <c r="C20" s="228">
        <v>2837.1164999999996</v>
      </c>
      <c r="D20" s="228">
        <v>-364.0645999999997</v>
      </c>
      <c r="E20" s="228">
        <v>2872.96</v>
      </c>
      <c r="F20" s="228">
        <v>3034.023</v>
      </c>
      <c r="G20" s="228">
        <f t="shared" si="0"/>
        <v>-525.1275999999998</v>
      </c>
      <c r="H20" s="708"/>
      <c r="I20" s="709"/>
      <c r="J20" s="709"/>
      <c r="K20" s="709"/>
      <c r="L20" s="710"/>
      <c r="N20" s="259">
        <v>3034.023</v>
      </c>
      <c r="O20" s="259">
        <f t="shared" si="1"/>
        <v>0</v>
      </c>
    </row>
    <row r="21" spans="1:15" ht="12.75">
      <c r="A21" s="14">
        <v>10</v>
      </c>
      <c r="B21" s="224" t="s">
        <v>840</v>
      </c>
      <c r="C21" s="228">
        <v>982.9037999999999</v>
      </c>
      <c r="D21" s="228">
        <v>101.39420000000041</v>
      </c>
      <c r="E21" s="228">
        <v>1008.6899999999999</v>
      </c>
      <c r="F21" s="228">
        <v>893.543</v>
      </c>
      <c r="G21" s="228">
        <f t="shared" si="0"/>
        <v>216.54120000000023</v>
      </c>
      <c r="H21" s="708"/>
      <c r="I21" s="709"/>
      <c r="J21" s="709"/>
      <c r="K21" s="709"/>
      <c r="L21" s="710"/>
      <c r="N21" s="259">
        <v>893.543</v>
      </c>
      <c r="O21" s="259">
        <f t="shared" si="1"/>
        <v>0</v>
      </c>
    </row>
    <row r="22" spans="1:15" ht="12.75">
      <c r="A22" s="14">
        <v>11</v>
      </c>
      <c r="B22" s="224" t="s">
        <v>841</v>
      </c>
      <c r="C22" s="228">
        <v>1418.4329999999998</v>
      </c>
      <c r="D22" s="228">
        <v>461.36635</v>
      </c>
      <c r="E22" s="228">
        <v>1550.6499999999999</v>
      </c>
      <c r="F22" s="228">
        <v>1470.9334</v>
      </c>
      <c r="G22" s="228">
        <f t="shared" si="0"/>
        <v>541.08295</v>
      </c>
      <c r="H22" s="708"/>
      <c r="I22" s="709"/>
      <c r="J22" s="709"/>
      <c r="K22" s="709"/>
      <c r="L22" s="710"/>
      <c r="N22" s="259">
        <v>1470.9334</v>
      </c>
      <c r="O22" s="259">
        <f t="shared" si="1"/>
        <v>0</v>
      </c>
    </row>
    <row r="23" spans="1:15" ht="12.75">
      <c r="A23" s="14">
        <v>12</v>
      </c>
      <c r="B23" s="224" t="s">
        <v>842</v>
      </c>
      <c r="C23" s="228">
        <v>1817.61405</v>
      </c>
      <c r="D23" s="228">
        <v>91.90470000000005</v>
      </c>
      <c r="E23" s="228">
        <v>1894.74</v>
      </c>
      <c r="F23" s="228">
        <v>1712.6719999999996</v>
      </c>
      <c r="G23" s="228">
        <f t="shared" si="0"/>
        <v>273.9727000000005</v>
      </c>
      <c r="H23" s="708"/>
      <c r="I23" s="709"/>
      <c r="J23" s="709"/>
      <c r="K23" s="709"/>
      <c r="L23" s="710"/>
      <c r="N23" s="259">
        <v>1712.6719999999996</v>
      </c>
      <c r="O23" s="259">
        <f t="shared" si="1"/>
        <v>0</v>
      </c>
    </row>
    <row r="24" spans="1:15" ht="12.75">
      <c r="A24" s="14">
        <v>13</v>
      </c>
      <c r="B24" s="224" t="s">
        <v>843</v>
      </c>
      <c r="C24" s="228">
        <v>888.9872999999999</v>
      </c>
      <c r="D24" s="228">
        <v>128.75279999999987</v>
      </c>
      <c r="E24" s="228">
        <v>908.41</v>
      </c>
      <c r="F24" s="228">
        <v>801.73665</v>
      </c>
      <c r="G24" s="228">
        <f t="shared" si="0"/>
        <v>235.42614999999978</v>
      </c>
      <c r="H24" s="708"/>
      <c r="I24" s="709"/>
      <c r="J24" s="709"/>
      <c r="K24" s="709"/>
      <c r="L24" s="710"/>
      <c r="N24" s="259">
        <v>801.73665</v>
      </c>
      <c r="O24" s="259">
        <f t="shared" si="1"/>
        <v>0</v>
      </c>
    </row>
    <row r="25" spans="1:15" ht="12.75">
      <c r="A25" s="14">
        <v>14</v>
      </c>
      <c r="B25" s="224" t="s">
        <v>844</v>
      </c>
      <c r="C25" s="228">
        <v>908.6469</v>
      </c>
      <c r="D25" s="228">
        <v>82.14910000000009</v>
      </c>
      <c r="E25" s="228">
        <v>933.82</v>
      </c>
      <c r="F25" s="228">
        <v>823.63</v>
      </c>
      <c r="G25" s="228">
        <f t="shared" si="0"/>
        <v>192.33910000000014</v>
      </c>
      <c r="H25" s="708"/>
      <c r="I25" s="709"/>
      <c r="J25" s="709"/>
      <c r="K25" s="709"/>
      <c r="L25" s="710"/>
      <c r="N25" s="259">
        <v>823.63</v>
      </c>
      <c r="O25" s="259">
        <f t="shared" si="1"/>
        <v>0</v>
      </c>
    </row>
    <row r="26" spans="1:15" ht="12.75">
      <c r="A26" s="14">
        <v>15</v>
      </c>
      <c r="B26" s="224" t="s">
        <v>845</v>
      </c>
      <c r="C26" s="228">
        <v>1675.1426999999999</v>
      </c>
      <c r="D26" s="228">
        <v>-170.66819999999984</v>
      </c>
      <c r="E26" s="228">
        <v>1603.6600000000003</v>
      </c>
      <c r="F26" s="228">
        <v>1552.04</v>
      </c>
      <c r="G26" s="228">
        <f t="shared" si="0"/>
        <v>-119.0481999999995</v>
      </c>
      <c r="H26" s="708"/>
      <c r="I26" s="709"/>
      <c r="J26" s="709"/>
      <c r="K26" s="709"/>
      <c r="L26" s="710"/>
      <c r="N26" s="259">
        <v>1532.77</v>
      </c>
      <c r="O26" s="259">
        <f t="shared" si="1"/>
        <v>19.269999999999982</v>
      </c>
    </row>
    <row r="27" spans="1:15" ht="12.75">
      <c r="A27" s="14">
        <v>16</v>
      </c>
      <c r="B27" s="224" t="s">
        <v>846</v>
      </c>
      <c r="C27" s="228">
        <v>2462.8601999999996</v>
      </c>
      <c r="D27" s="228">
        <v>130.8375500000002</v>
      </c>
      <c r="E27" s="228">
        <v>2252.36</v>
      </c>
      <c r="F27" s="228">
        <v>2402.64</v>
      </c>
      <c r="G27" s="228">
        <f t="shared" si="0"/>
        <v>-19.442449999999553</v>
      </c>
      <c r="H27" s="708"/>
      <c r="I27" s="709"/>
      <c r="J27" s="709"/>
      <c r="K27" s="709"/>
      <c r="L27" s="710"/>
      <c r="N27" s="259">
        <v>2402.64</v>
      </c>
      <c r="O27" s="259">
        <f t="shared" si="1"/>
        <v>0</v>
      </c>
    </row>
    <row r="28" spans="1:15" ht="12.75">
      <c r="A28" s="14">
        <v>17</v>
      </c>
      <c r="B28" s="224" t="s">
        <v>847</v>
      </c>
      <c r="C28" s="228">
        <v>2052.4469999999997</v>
      </c>
      <c r="D28" s="228">
        <v>47.82040000000029</v>
      </c>
      <c r="E28" s="228">
        <v>2062.1</v>
      </c>
      <c r="F28" s="228">
        <v>1876.3792999999998</v>
      </c>
      <c r="G28" s="228">
        <f t="shared" si="0"/>
        <v>233.54110000000014</v>
      </c>
      <c r="H28" s="708"/>
      <c r="I28" s="709"/>
      <c r="J28" s="709"/>
      <c r="K28" s="709"/>
      <c r="L28" s="710"/>
      <c r="N28" s="259">
        <v>1876.3792999999998</v>
      </c>
      <c r="O28" s="259">
        <f t="shared" si="1"/>
        <v>0</v>
      </c>
    </row>
    <row r="29" spans="1:15" ht="12.75">
      <c r="A29" s="14">
        <v>18</v>
      </c>
      <c r="B29" s="224" t="s">
        <v>848</v>
      </c>
      <c r="C29" s="228">
        <v>1725.2822999999999</v>
      </c>
      <c r="D29" s="228">
        <v>226.8144000000002</v>
      </c>
      <c r="E29" s="228">
        <v>1766.96</v>
      </c>
      <c r="F29" s="228">
        <v>1590.4300000000003</v>
      </c>
      <c r="G29" s="228">
        <f t="shared" si="0"/>
        <v>403.34439999999995</v>
      </c>
      <c r="H29" s="708"/>
      <c r="I29" s="709"/>
      <c r="J29" s="709"/>
      <c r="K29" s="709"/>
      <c r="L29" s="710"/>
      <c r="N29" s="259">
        <v>1590.4300000000003</v>
      </c>
      <c r="O29" s="259">
        <f t="shared" si="1"/>
        <v>0</v>
      </c>
    </row>
    <row r="30" spans="1:15" ht="12.75">
      <c r="A30" s="14">
        <v>19</v>
      </c>
      <c r="B30" s="224" t="s">
        <v>849</v>
      </c>
      <c r="C30" s="228">
        <v>1317.9565499999999</v>
      </c>
      <c r="D30" s="228">
        <v>-38.102799999999434</v>
      </c>
      <c r="E30" s="228">
        <v>1330.55</v>
      </c>
      <c r="F30" s="228">
        <v>1301.4177</v>
      </c>
      <c r="G30" s="228">
        <f t="shared" si="0"/>
        <v>-8.970499999999447</v>
      </c>
      <c r="H30" s="708"/>
      <c r="I30" s="709"/>
      <c r="J30" s="709"/>
      <c r="K30" s="709"/>
      <c r="L30" s="710"/>
      <c r="N30" s="259">
        <v>1301.4177</v>
      </c>
      <c r="O30" s="259">
        <f t="shared" si="1"/>
        <v>0</v>
      </c>
    </row>
    <row r="31" spans="1:15" ht="12.75">
      <c r="A31" s="14">
        <v>20</v>
      </c>
      <c r="B31" s="224" t="s">
        <v>850</v>
      </c>
      <c r="C31" s="228">
        <v>950.5949999999999</v>
      </c>
      <c r="D31" s="228">
        <v>47.4616000000002</v>
      </c>
      <c r="E31" s="228">
        <v>901.23</v>
      </c>
      <c r="F31" s="228">
        <v>871.37</v>
      </c>
      <c r="G31" s="228">
        <f t="shared" si="0"/>
        <v>77.32160000000022</v>
      </c>
      <c r="H31" s="708"/>
      <c r="I31" s="709"/>
      <c r="J31" s="709"/>
      <c r="K31" s="709"/>
      <c r="L31" s="710"/>
      <c r="N31" s="259">
        <v>871.37</v>
      </c>
      <c r="O31" s="259">
        <f t="shared" si="1"/>
        <v>0</v>
      </c>
    </row>
    <row r="32" spans="1:15" ht="12.75">
      <c r="A32" s="14">
        <v>21</v>
      </c>
      <c r="B32" s="224" t="s">
        <v>851</v>
      </c>
      <c r="C32" s="228">
        <v>1212.8084999999999</v>
      </c>
      <c r="D32" s="228">
        <v>-40.69909999999959</v>
      </c>
      <c r="E32" s="228">
        <v>1155.98</v>
      </c>
      <c r="F32" s="228">
        <v>1094.09</v>
      </c>
      <c r="G32" s="228">
        <f t="shared" si="0"/>
        <v>21.19090000000051</v>
      </c>
      <c r="H32" s="708"/>
      <c r="I32" s="709"/>
      <c r="J32" s="709"/>
      <c r="K32" s="709"/>
      <c r="L32" s="710"/>
      <c r="N32" s="259">
        <v>1094.09</v>
      </c>
      <c r="O32" s="259">
        <f t="shared" si="1"/>
        <v>0</v>
      </c>
    </row>
    <row r="33" spans="1:15" ht="12.75">
      <c r="A33" s="14">
        <v>22</v>
      </c>
      <c r="B33" s="224" t="s">
        <v>852</v>
      </c>
      <c r="C33" s="228">
        <v>989.8070999999999</v>
      </c>
      <c r="D33" s="228">
        <v>31.850400000000263</v>
      </c>
      <c r="E33" s="228">
        <v>949.4</v>
      </c>
      <c r="F33" s="228">
        <v>761.1149999999998</v>
      </c>
      <c r="G33" s="228">
        <f t="shared" si="0"/>
        <v>220.13540000000046</v>
      </c>
      <c r="H33" s="708"/>
      <c r="I33" s="709"/>
      <c r="J33" s="709"/>
      <c r="K33" s="709"/>
      <c r="L33" s="710"/>
      <c r="N33" s="259">
        <v>761.1149999999998</v>
      </c>
      <c r="O33" s="259">
        <f t="shared" si="1"/>
        <v>0</v>
      </c>
    </row>
    <row r="34" spans="1:15" ht="12.75">
      <c r="A34" s="14">
        <v>23</v>
      </c>
      <c r="B34" s="224" t="s">
        <v>853</v>
      </c>
      <c r="C34" s="228">
        <v>1547.8906</v>
      </c>
      <c r="D34" s="228">
        <v>-325.52275000000054</v>
      </c>
      <c r="E34" s="228">
        <v>1574.57</v>
      </c>
      <c r="F34" s="228">
        <v>1500.5259999999998</v>
      </c>
      <c r="G34" s="228">
        <f t="shared" si="0"/>
        <v>-251.47875000000045</v>
      </c>
      <c r="H34" s="708"/>
      <c r="I34" s="709"/>
      <c r="J34" s="709"/>
      <c r="K34" s="709"/>
      <c r="L34" s="710"/>
      <c r="N34" s="259">
        <v>1500.5259999999998</v>
      </c>
      <c r="O34" s="259">
        <f t="shared" si="1"/>
        <v>0</v>
      </c>
    </row>
    <row r="35" spans="1:15" ht="12.75">
      <c r="A35" s="14">
        <v>24</v>
      </c>
      <c r="B35" s="224" t="s">
        <v>854</v>
      </c>
      <c r="C35" s="228">
        <v>1780.6797</v>
      </c>
      <c r="D35" s="228">
        <v>-288.6740000000002</v>
      </c>
      <c r="E35" s="228">
        <v>1534.08</v>
      </c>
      <c r="F35" s="228">
        <v>1800.56</v>
      </c>
      <c r="G35" s="228">
        <f t="shared" si="0"/>
        <v>-555.1540000000002</v>
      </c>
      <c r="H35" s="708"/>
      <c r="I35" s="709"/>
      <c r="J35" s="709"/>
      <c r="K35" s="709"/>
      <c r="L35" s="710"/>
      <c r="N35" s="259">
        <v>1800.56</v>
      </c>
      <c r="O35" s="259">
        <f t="shared" si="1"/>
        <v>0</v>
      </c>
    </row>
    <row r="36" spans="1:12" s="11" customFormat="1" ht="12.75">
      <c r="A36" s="560" t="s">
        <v>13</v>
      </c>
      <c r="B36" s="561"/>
      <c r="C36" s="229">
        <f>SUM(C12:C35)</f>
        <v>35601.52614999999</v>
      </c>
      <c r="D36" s="229">
        <f>SUM(D12:D35)</f>
        <v>493.5057000000029</v>
      </c>
      <c r="E36" s="229">
        <f>SUM(E12:E35)</f>
        <v>35108.020000000004</v>
      </c>
      <c r="F36" s="229">
        <f>SUM(F12:F35)</f>
        <v>33699.65667599999</v>
      </c>
      <c r="G36" s="229">
        <f>SUM(G12:G35)</f>
        <v>1901.8690240000035</v>
      </c>
      <c r="H36" s="711"/>
      <c r="I36" s="712"/>
      <c r="J36" s="712"/>
      <c r="K36" s="712"/>
      <c r="L36" s="713"/>
    </row>
    <row r="37" spans="1:12" ht="12.75">
      <c r="A37" s="16" t="s">
        <v>745</v>
      </c>
      <c r="B37" s="17"/>
      <c r="C37" s="17"/>
      <c r="D37" s="17"/>
      <c r="E37" s="17"/>
      <c r="F37" s="17"/>
      <c r="G37" s="17"/>
      <c r="H37" s="17"/>
      <c r="I37" s="17"/>
      <c r="J37" s="17"/>
      <c r="K37" s="17"/>
      <c r="L37" s="17"/>
    </row>
    <row r="38" spans="1:12" ht="12.75">
      <c r="A38" s="11"/>
      <c r="B38" s="11"/>
      <c r="C38" s="11"/>
      <c r="D38" s="11"/>
      <c r="E38" s="11"/>
      <c r="F38" s="11"/>
      <c r="G38" s="11"/>
      <c r="H38" s="11"/>
      <c r="I38" s="11"/>
      <c r="J38" s="11"/>
      <c r="K38" s="11"/>
      <c r="L38" s="11"/>
    </row>
    <row r="39" spans="1:12" ht="12.75">
      <c r="A39" s="29"/>
      <c r="B39" s="29"/>
      <c r="C39" s="29"/>
      <c r="D39" s="29"/>
      <c r="E39" s="29"/>
      <c r="F39" s="555">
        <f>F36+'T6_FG_py_Utlsn'!F36</f>
        <v>86781.418307</v>
      </c>
      <c r="G39" s="29"/>
      <c r="H39" s="29"/>
      <c r="I39" s="29"/>
      <c r="J39" s="29"/>
      <c r="K39" s="29"/>
      <c r="L39" s="29"/>
    </row>
    <row r="40" spans="1:12" ht="12.75">
      <c r="A40" s="68"/>
      <c r="B40" s="68"/>
      <c r="C40" s="68"/>
      <c r="D40" s="68"/>
      <c r="E40" s="68"/>
      <c r="F40" s="68"/>
      <c r="G40" s="68"/>
      <c r="H40" s="68"/>
      <c r="I40" s="68"/>
      <c r="J40" s="68"/>
      <c r="K40" s="68"/>
      <c r="L40" s="68"/>
    </row>
    <row r="41" spans="1:12" ht="12.75">
      <c r="A41" s="68"/>
      <c r="B41" s="68"/>
      <c r="C41" s="68"/>
      <c r="D41" s="68"/>
      <c r="E41" s="68"/>
      <c r="F41" s="68"/>
      <c r="G41" s="68"/>
      <c r="H41" s="68"/>
      <c r="I41" s="68"/>
      <c r="J41" s="68"/>
      <c r="K41" s="68"/>
      <c r="L41" s="68"/>
    </row>
    <row r="42" spans="1:12" ht="12.75" customHeight="1">
      <c r="A42" s="559" t="s">
        <v>989</v>
      </c>
      <c r="B42" s="559"/>
      <c r="C42" s="559"/>
      <c r="F42" s="559" t="s">
        <v>990</v>
      </c>
      <c r="G42" s="559"/>
      <c r="I42" s="359"/>
      <c r="J42" s="559" t="s">
        <v>996</v>
      </c>
      <c r="K42" s="559"/>
      <c r="L42" s="559"/>
    </row>
    <row r="43" spans="1:13" ht="12.75" customHeight="1">
      <c r="A43" s="559" t="s">
        <v>991</v>
      </c>
      <c r="B43" s="559"/>
      <c r="C43" s="559"/>
      <c r="F43" s="559" t="s">
        <v>992</v>
      </c>
      <c r="G43" s="559"/>
      <c r="I43" s="359"/>
      <c r="J43" s="559" t="s">
        <v>993</v>
      </c>
      <c r="K43" s="559"/>
      <c r="L43" s="559"/>
      <c r="M43" s="25"/>
    </row>
    <row r="44" spans="1:12" ht="12.75">
      <c r="A44" s="559" t="s">
        <v>994</v>
      </c>
      <c r="B44" s="559"/>
      <c r="C44" s="559"/>
      <c r="F44" s="559" t="s">
        <v>995</v>
      </c>
      <c r="G44" s="559"/>
      <c r="I44" s="359"/>
      <c r="J44" s="559" t="s">
        <v>995</v>
      </c>
      <c r="K44" s="559"/>
      <c r="L44" s="559"/>
    </row>
    <row r="45" spans="1:12" ht="12.75">
      <c r="A45" s="687"/>
      <c r="B45" s="687"/>
      <c r="C45" s="687"/>
      <c r="D45" s="687"/>
      <c r="E45" s="687"/>
      <c r="F45" s="687"/>
      <c r="G45" s="687"/>
      <c r="H45" s="687"/>
      <c r="I45" s="687"/>
      <c r="J45" s="687"/>
      <c r="K45" s="687"/>
      <c r="L45" s="687"/>
    </row>
  </sheetData>
  <sheetProtection/>
  <mergeCells count="23">
    <mergeCell ref="I8:L8"/>
    <mergeCell ref="F7:L7"/>
    <mergeCell ref="A7:B7"/>
    <mergeCell ref="L1:N1"/>
    <mergeCell ref="A2:L2"/>
    <mergeCell ref="A3:L3"/>
    <mergeCell ref="A5:L5"/>
    <mergeCell ref="A43:C43"/>
    <mergeCell ref="A44:C44"/>
    <mergeCell ref="A45:L45"/>
    <mergeCell ref="A9:A10"/>
    <mergeCell ref="B9:B10"/>
    <mergeCell ref="C9:G9"/>
    <mergeCell ref="H9:L9"/>
    <mergeCell ref="A36:B36"/>
    <mergeCell ref="H12:L36"/>
    <mergeCell ref="A42:C42"/>
    <mergeCell ref="J42:L42"/>
    <mergeCell ref="J43:L43"/>
    <mergeCell ref="J44:L44"/>
    <mergeCell ref="F42:G42"/>
    <mergeCell ref="F43:G43"/>
    <mergeCell ref="F44:G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rowBreaks count="1" manualBreakCount="1">
    <brk id="44" max="255" man="1"/>
  </rowBreak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B59"/>
  <sheetViews>
    <sheetView view="pageBreakPreview" zoomScale="85" zoomScaleSheetLayoutView="85" zoomScalePageLayoutView="0" workbookViewId="0" topLeftCell="A3">
      <selection activeCell="G39" sqref="G39"/>
    </sheetView>
  </sheetViews>
  <sheetFormatPr defaultColWidth="9.140625" defaultRowHeight="12.75"/>
  <cols>
    <col min="1" max="1" width="6.140625" style="106" customWidth="1"/>
    <col min="2" max="2" width="16.7109375" style="106" customWidth="1"/>
    <col min="3" max="3" width="13.00390625" style="106" customWidth="1"/>
    <col min="4" max="4" width="12.00390625" style="106" customWidth="1"/>
    <col min="5" max="5" width="12.421875" style="106" customWidth="1"/>
    <col min="6" max="6" width="12.7109375" style="106" customWidth="1"/>
    <col min="7" max="7" width="13.140625" style="106" customWidth="1"/>
    <col min="8" max="8" width="12.7109375" style="106" customWidth="1"/>
    <col min="9" max="9" width="12.140625" style="106" customWidth="1"/>
    <col min="10" max="10" width="12.140625" style="180" customWidth="1"/>
    <col min="11" max="11" width="14.8515625" style="106" customWidth="1"/>
    <col min="12" max="12" width="13.140625" style="106" customWidth="1"/>
    <col min="13" max="13" width="12.7109375" style="106" customWidth="1"/>
    <col min="14" max="14" width="12.57421875" style="106" bestFit="1" customWidth="1"/>
    <col min="15" max="15" width="10.28125" style="106" bestFit="1" customWidth="1"/>
    <col min="16" max="16" width="12.57421875" style="106" bestFit="1" customWidth="1"/>
    <col min="17" max="17" width="12.57421875" style="106" customWidth="1"/>
    <col min="18" max="18" width="10.28125" style="106" bestFit="1" customWidth="1"/>
    <col min="19" max="23" width="9.140625" style="106" customWidth="1"/>
    <col min="24" max="24" width="15.00390625" style="106" bestFit="1" customWidth="1"/>
    <col min="25" max="16384" width="9.140625" style="106" customWidth="1"/>
  </cols>
  <sheetData>
    <row r="1" spans="1:13" ht="12.75">
      <c r="A1" s="235"/>
      <c r="B1" s="235"/>
      <c r="C1" s="235"/>
      <c r="D1" s="235"/>
      <c r="E1" s="235"/>
      <c r="F1" s="235"/>
      <c r="G1" s="235"/>
      <c r="H1" s="235"/>
      <c r="I1" s="235"/>
      <c r="J1" s="235"/>
      <c r="K1" s="719" t="s">
        <v>206</v>
      </c>
      <c r="L1" s="719"/>
      <c r="M1" s="719"/>
    </row>
    <row r="2" spans="1:13" ht="12.75" customHeight="1">
      <c r="A2" s="235"/>
      <c r="B2" s="235"/>
      <c r="C2" s="235"/>
      <c r="D2" s="235"/>
      <c r="E2" s="235"/>
      <c r="F2" s="235"/>
      <c r="G2" s="235"/>
      <c r="H2" s="235"/>
      <c r="I2" s="235"/>
      <c r="J2" s="235"/>
      <c r="K2" s="235"/>
      <c r="L2" s="235"/>
      <c r="M2" s="235"/>
    </row>
    <row r="3" spans="1:13" ht="15.75">
      <c r="A3" s="723" t="s">
        <v>0</v>
      </c>
      <c r="B3" s="723"/>
      <c r="C3" s="723"/>
      <c r="D3" s="723"/>
      <c r="E3" s="723"/>
      <c r="F3" s="723"/>
      <c r="G3" s="723"/>
      <c r="H3" s="723"/>
      <c r="I3" s="723"/>
      <c r="J3" s="723"/>
      <c r="K3" s="723"/>
      <c r="L3" s="723"/>
      <c r="M3" s="723"/>
    </row>
    <row r="4" spans="1:13" ht="20.25">
      <c r="A4" s="725" t="s">
        <v>645</v>
      </c>
      <c r="B4" s="725"/>
      <c r="C4" s="725"/>
      <c r="D4" s="725"/>
      <c r="E4" s="725"/>
      <c r="F4" s="725"/>
      <c r="G4" s="725"/>
      <c r="H4" s="725"/>
      <c r="I4" s="725"/>
      <c r="J4" s="725"/>
      <c r="K4" s="725"/>
      <c r="L4" s="725"/>
      <c r="M4" s="725"/>
    </row>
    <row r="5" spans="1:13" ht="12.75">
      <c r="A5" s="235"/>
      <c r="B5" s="235"/>
      <c r="C5" s="235"/>
      <c r="D5" s="235"/>
      <c r="E5" s="235"/>
      <c r="F5" s="235"/>
      <c r="G5" s="235"/>
      <c r="H5" s="235"/>
      <c r="I5" s="235"/>
      <c r="J5" s="235"/>
      <c r="K5" s="235"/>
      <c r="L5" s="235"/>
      <c r="M5" s="235"/>
    </row>
    <row r="6" spans="1:13" ht="15.75">
      <c r="A6" s="724" t="s">
        <v>858</v>
      </c>
      <c r="B6" s="724"/>
      <c r="C6" s="724"/>
      <c r="D6" s="724"/>
      <c r="E6" s="724"/>
      <c r="F6" s="724"/>
      <c r="G6" s="724"/>
      <c r="H6" s="724"/>
      <c r="I6" s="724"/>
      <c r="J6" s="724"/>
      <c r="K6" s="724"/>
      <c r="L6" s="724"/>
      <c r="M6" s="724"/>
    </row>
    <row r="7" spans="1:13" ht="15.75">
      <c r="A7" s="235"/>
      <c r="B7" s="236"/>
      <c r="C7" s="236"/>
      <c r="D7" s="236"/>
      <c r="E7" s="236"/>
      <c r="F7" s="236"/>
      <c r="G7" s="236"/>
      <c r="H7" s="236"/>
      <c r="I7" s="235"/>
      <c r="J7" s="235"/>
      <c r="K7" s="235"/>
      <c r="L7" s="721" t="s">
        <v>185</v>
      </c>
      <c r="M7" s="721"/>
    </row>
    <row r="8" spans="1:13" ht="15.75">
      <c r="A8" s="593" t="s">
        <v>956</v>
      </c>
      <c r="B8" s="593"/>
      <c r="C8" s="236"/>
      <c r="D8" s="236"/>
      <c r="E8" s="236"/>
      <c r="F8" s="236"/>
      <c r="G8" s="722" t="s">
        <v>959</v>
      </c>
      <c r="H8" s="722"/>
      <c r="I8" s="722"/>
      <c r="J8" s="722"/>
      <c r="K8" s="722"/>
      <c r="L8" s="722"/>
      <c r="M8" s="722"/>
    </row>
    <row r="9" spans="1:13" ht="12.75">
      <c r="A9" s="716" t="s">
        <v>17</v>
      </c>
      <c r="B9" s="717" t="s">
        <v>2</v>
      </c>
      <c r="C9" s="716" t="s">
        <v>668</v>
      </c>
      <c r="D9" s="716" t="s">
        <v>667</v>
      </c>
      <c r="E9" s="716" t="s">
        <v>222</v>
      </c>
      <c r="F9" s="716" t="s">
        <v>221</v>
      </c>
      <c r="G9" s="716"/>
      <c r="H9" s="716" t="s">
        <v>182</v>
      </c>
      <c r="I9" s="716"/>
      <c r="J9" s="720" t="s">
        <v>434</v>
      </c>
      <c r="K9" s="716" t="s">
        <v>184</v>
      </c>
      <c r="L9" s="716" t="s">
        <v>410</v>
      </c>
      <c r="M9" s="716" t="s">
        <v>242</v>
      </c>
    </row>
    <row r="10" spans="1:13" ht="12.75">
      <c r="A10" s="716"/>
      <c r="B10" s="717"/>
      <c r="C10" s="716"/>
      <c r="D10" s="716"/>
      <c r="E10" s="716"/>
      <c r="F10" s="716"/>
      <c r="G10" s="716"/>
      <c r="H10" s="716"/>
      <c r="I10" s="716"/>
      <c r="J10" s="720"/>
      <c r="K10" s="716"/>
      <c r="L10" s="716"/>
      <c r="M10" s="716"/>
    </row>
    <row r="11" spans="1:13" ht="31.5" customHeight="1">
      <c r="A11" s="716"/>
      <c r="B11" s="717"/>
      <c r="C11" s="716"/>
      <c r="D11" s="716"/>
      <c r="E11" s="716"/>
      <c r="F11" s="107" t="s">
        <v>183</v>
      </c>
      <c r="G11" s="107" t="s">
        <v>243</v>
      </c>
      <c r="H11" s="107" t="s">
        <v>183</v>
      </c>
      <c r="I11" s="107" t="s">
        <v>243</v>
      </c>
      <c r="J11" s="720"/>
      <c r="K11" s="716"/>
      <c r="L11" s="716"/>
      <c r="M11" s="716"/>
    </row>
    <row r="12" spans="1:13" ht="16.5" customHeight="1">
      <c r="A12" s="111">
        <v>1</v>
      </c>
      <c r="B12" s="111">
        <v>2</v>
      </c>
      <c r="C12" s="111">
        <v>3</v>
      </c>
      <c r="D12" s="111">
        <v>4</v>
      </c>
      <c r="E12" s="111">
        <v>5</v>
      </c>
      <c r="F12" s="111">
        <v>6</v>
      </c>
      <c r="G12" s="111">
        <v>7</v>
      </c>
      <c r="H12" s="111">
        <v>8</v>
      </c>
      <c r="I12" s="111">
        <v>9</v>
      </c>
      <c r="J12" s="111">
        <v>10</v>
      </c>
      <c r="K12" s="111">
        <v>11</v>
      </c>
      <c r="L12" s="111">
        <v>12</v>
      </c>
      <c r="M12" s="111">
        <v>13</v>
      </c>
    </row>
    <row r="13" spans="1:28" ht="16.5" customHeight="1">
      <c r="A13" s="484">
        <v>1</v>
      </c>
      <c r="B13" s="224" t="s">
        <v>831</v>
      </c>
      <c r="C13" s="230">
        <v>170.871576</v>
      </c>
      <c r="D13" s="230">
        <v>-22.432801500000096</v>
      </c>
      <c r="E13" s="230">
        <v>133.61223</v>
      </c>
      <c r="F13" s="230">
        <f aca="true" t="shared" si="0" ref="F13:F37">G13*100000/3000</f>
        <v>5411.333333333333</v>
      </c>
      <c r="G13" s="230">
        <v>162.34</v>
      </c>
      <c r="H13" s="230">
        <f aca="true" t="shared" si="1" ref="H13:H36">I13*100000/3000</f>
        <v>2073.741</v>
      </c>
      <c r="I13" s="230">
        <v>62.21223</v>
      </c>
      <c r="J13" s="230">
        <f>G13-I13</f>
        <v>100.12777</v>
      </c>
      <c r="K13" s="230">
        <f>D13+E13-I13</f>
        <v>48.96719849999992</v>
      </c>
      <c r="L13" s="230">
        <v>71.4</v>
      </c>
      <c r="M13" s="230">
        <v>71.4</v>
      </c>
      <c r="O13" s="106">
        <v>7140000</v>
      </c>
      <c r="P13" s="106">
        <f aca="true" t="shared" si="2" ref="P13:P22">SUM(O13:O13)</f>
        <v>7140000</v>
      </c>
      <c r="R13" s="106">
        <f>SUM(P13:Q13)</f>
        <v>7140000</v>
      </c>
      <c r="S13" s="233">
        <f>R13/100000</f>
        <v>71.4</v>
      </c>
      <c r="T13" s="233">
        <f>P13/100000</f>
        <v>71.4</v>
      </c>
      <c r="X13" s="224" t="s">
        <v>831</v>
      </c>
      <c r="AA13" s="106">
        <v>71.4</v>
      </c>
      <c r="AB13" s="233">
        <f>SUM(Y13:AA13)</f>
        <v>71.4</v>
      </c>
    </row>
    <row r="14" spans="1:28" ht="16.5" customHeight="1">
      <c r="A14" s="484">
        <v>2</v>
      </c>
      <c r="B14" s="224" t="s">
        <v>832</v>
      </c>
      <c r="C14" s="230">
        <v>56.441721</v>
      </c>
      <c r="D14" s="230">
        <v>-0.0002735999999856631</v>
      </c>
      <c r="E14" s="230">
        <v>51.076</v>
      </c>
      <c r="F14" s="230">
        <f t="shared" si="0"/>
        <v>1722.3333333333333</v>
      </c>
      <c r="G14" s="230">
        <v>51.67</v>
      </c>
      <c r="H14" s="230">
        <f t="shared" si="1"/>
        <v>768.5333333333333</v>
      </c>
      <c r="I14" s="230">
        <v>23.056</v>
      </c>
      <c r="J14" s="230">
        <f aca="true" t="shared" si="3" ref="J14:J36">G14-I14</f>
        <v>28.614</v>
      </c>
      <c r="K14" s="230">
        <f aca="true" t="shared" si="4" ref="K14:K36">D14+E14-I14</f>
        <v>28.019726400000014</v>
      </c>
      <c r="L14" s="230">
        <v>80.44</v>
      </c>
      <c r="M14" s="230">
        <v>28.02</v>
      </c>
      <c r="O14" s="106">
        <v>2802000</v>
      </c>
      <c r="P14" s="106">
        <f t="shared" si="2"/>
        <v>2802000</v>
      </c>
      <c r="Q14" s="106">
        <v>5241000</v>
      </c>
      <c r="R14" s="106">
        <f aca="true" t="shared" si="5" ref="R14:R37">SUM(P14:Q14)</f>
        <v>8043000</v>
      </c>
      <c r="S14" s="233">
        <f aca="true" t="shared" si="6" ref="S14:S37">R14/100000</f>
        <v>80.43</v>
      </c>
      <c r="T14" s="233">
        <f aca="true" t="shared" si="7" ref="T14:T37">P14/100000</f>
        <v>28.02</v>
      </c>
      <c r="X14" s="224" t="s">
        <v>832</v>
      </c>
      <c r="Z14" s="106">
        <v>28.02</v>
      </c>
      <c r="AA14" s="106">
        <v>52.42</v>
      </c>
      <c r="AB14" s="233">
        <f aca="true" t="shared" si="8" ref="AB14:AB36">SUM(Y14:AA14)</f>
        <v>80.44</v>
      </c>
    </row>
    <row r="15" spans="1:28" ht="16.5" customHeight="1">
      <c r="A15" s="484">
        <v>3</v>
      </c>
      <c r="B15" s="224" t="s">
        <v>833</v>
      </c>
      <c r="C15" s="230">
        <v>43.86376799999999</v>
      </c>
      <c r="D15" s="230">
        <v>-4.4800000011946395E-05</v>
      </c>
      <c r="E15" s="230">
        <v>61.482</v>
      </c>
      <c r="F15" s="230">
        <f t="shared" si="0"/>
        <v>2049.4</v>
      </c>
      <c r="G15" s="230">
        <v>61.482</v>
      </c>
      <c r="H15" s="230">
        <f t="shared" si="1"/>
        <v>557.0666666666667</v>
      </c>
      <c r="I15" s="230">
        <v>16.712</v>
      </c>
      <c r="J15" s="230">
        <f t="shared" si="3"/>
        <v>44.769999999999996</v>
      </c>
      <c r="K15" s="230">
        <f t="shared" si="4"/>
        <v>44.769955199999984</v>
      </c>
      <c r="L15" s="230">
        <v>44.77</v>
      </c>
      <c r="M15" s="230">
        <v>44.77</v>
      </c>
      <c r="O15" s="106">
        <v>4477000</v>
      </c>
      <c r="P15" s="106">
        <f t="shared" si="2"/>
        <v>4477000</v>
      </c>
      <c r="R15" s="106">
        <f t="shared" si="5"/>
        <v>4477000</v>
      </c>
      <c r="S15" s="233">
        <f t="shared" si="6"/>
        <v>44.77</v>
      </c>
      <c r="T15" s="233">
        <f t="shared" si="7"/>
        <v>44.77</v>
      </c>
      <c r="X15" s="224" t="s">
        <v>833</v>
      </c>
      <c r="AA15" s="106">
        <v>44.77</v>
      </c>
      <c r="AB15" s="233">
        <f t="shared" si="8"/>
        <v>44.77</v>
      </c>
    </row>
    <row r="16" spans="1:28" ht="16.5" customHeight="1">
      <c r="A16" s="484">
        <v>4</v>
      </c>
      <c r="B16" s="224" t="s">
        <v>834</v>
      </c>
      <c r="C16" s="230">
        <v>116.60581200000001</v>
      </c>
      <c r="D16" s="230">
        <v>3.370000001723383E-05</v>
      </c>
      <c r="E16" s="230">
        <v>166.792</v>
      </c>
      <c r="F16" s="230">
        <f t="shared" si="0"/>
        <v>1977</v>
      </c>
      <c r="G16" s="230">
        <v>59.31</v>
      </c>
      <c r="H16" s="230">
        <f t="shared" si="1"/>
        <v>1543.7333333333333</v>
      </c>
      <c r="I16" s="230">
        <v>46.312</v>
      </c>
      <c r="J16" s="230">
        <f t="shared" si="3"/>
        <v>12.998000000000005</v>
      </c>
      <c r="K16" s="230">
        <f t="shared" si="4"/>
        <v>120.48003370000002</v>
      </c>
      <c r="L16" s="230">
        <v>120.48</v>
      </c>
      <c r="M16" s="230">
        <v>120.48</v>
      </c>
      <c r="O16" s="106">
        <v>12048000</v>
      </c>
      <c r="P16" s="106">
        <f t="shared" si="2"/>
        <v>12048000</v>
      </c>
      <c r="R16" s="106">
        <f t="shared" si="5"/>
        <v>12048000</v>
      </c>
      <c r="S16" s="233">
        <f t="shared" si="6"/>
        <v>120.48</v>
      </c>
      <c r="T16" s="233">
        <f t="shared" si="7"/>
        <v>120.48</v>
      </c>
      <c r="X16" s="224" t="s">
        <v>834</v>
      </c>
      <c r="Z16" s="106">
        <v>7.05</v>
      </c>
      <c r="AA16" s="106">
        <v>113.43</v>
      </c>
      <c r="AB16" s="233">
        <f t="shared" si="8"/>
        <v>120.48</v>
      </c>
    </row>
    <row r="17" spans="1:28" ht="16.5" customHeight="1">
      <c r="A17" s="484">
        <v>5</v>
      </c>
      <c r="B17" s="224" t="s">
        <v>835</v>
      </c>
      <c r="C17" s="230">
        <v>62.309501999999995</v>
      </c>
      <c r="D17" s="230">
        <v>-1.6599999980826396E-05</v>
      </c>
      <c r="E17" s="230">
        <v>59.248000000000005</v>
      </c>
      <c r="F17" s="230">
        <f>G17*100000/3000</f>
        <v>1907.3333333333333</v>
      </c>
      <c r="G17" s="230">
        <v>57.22</v>
      </c>
      <c r="H17" s="230">
        <f>I17*100000/3000</f>
        <v>793.9333333333333</v>
      </c>
      <c r="I17" s="230">
        <v>23.818</v>
      </c>
      <c r="J17" s="230">
        <f t="shared" si="3"/>
        <v>33.402</v>
      </c>
      <c r="K17" s="230">
        <f t="shared" si="4"/>
        <v>35.429983400000026</v>
      </c>
      <c r="L17" s="230">
        <v>35.43</v>
      </c>
      <c r="M17" s="230">
        <v>35.43</v>
      </c>
      <c r="O17" s="106">
        <v>3543000</v>
      </c>
      <c r="P17" s="106">
        <f t="shared" si="2"/>
        <v>3543000</v>
      </c>
      <c r="Q17" s="106">
        <v>6339000</v>
      </c>
      <c r="R17" s="106">
        <f t="shared" si="5"/>
        <v>9882000</v>
      </c>
      <c r="S17" s="233">
        <f t="shared" si="6"/>
        <v>98.82</v>
      </c>
      <c r="T17" s="233">
        <f t="shared" si="7"/>
        <v>35.43</v>
      </c>
      <c r="X17" s="224" t="s">
        <v>835</v>
      </c>
      <c r="Z17" s="106">
        <v>35.43</v>
      </c>
      <c r="AA17" s="106">
        <v>63.39</v>
      </c>
      <c r="AB17" s="233">
        <f t="shared" si="8"/>
        <v>98.82</v>
      </c>
    </row>
    <row r="18" spans="1:28" ht="16.5" customHeight="1">
      <c r="A18" s="484">
        <v>6</v>
      </c>
      <c r="B18" s="224" t="s">
        <v>836</v>
      </c>
      <c r="C18" s="230">
        <v>114.26570999999998</v>
      </c>
      <c r="D18" s="230">
        <v>-146.89749170000002</v>
      </c>
      <c r="E18" s="230">
        <v>150.042</v>
      </c>
      <c r="F18" s="230">
        <v>1907.39</v>
      </c>
      <c r="G18" s="230">
        <v>97.036</v>
      </c>
      <c r="H18" s="230">
        <f t="shared" si="1"/>
        <v>1282.7333333333333</v>
      </c>
      <c r="I18" s="230">
        <v>38.482</v>
      </c>
      <c r="J18" s="230">
        <f t="shared" si="3"/>
        <v>58.554</v>
      </c>
      <c r="K18" s="230">
        <f t="shared" si="4"/>
        <v>-35.337491700000015</v>
      </c>
      <c r="L18" s="230">
        <v>111.56</v>
      </c>
      <c r="M18" s="230">
        <v>111.56</v>
      </c>
      <c r="O18" s="106">
        <v>11156000</v>
      </c>
      <c r="P18" s="106">
        <f t="shared" si="2"/>
        <v>11156000</v>
      </c>
      <c r="R18" s="106">
        <f t="shared" si="5"/>
        <v>11156000</v>
      </c>
      <c r="S18" s="233">
        <f t="shared" si="6"/>
        <v>111.56</v>
      </c>
      <c r="T18" s="233">
        <f t="shared" si="7"/>
        <v>111.56</v>
      </c>
      <c r="X18" s="224" t="s">
        <v>836</v>
      </c>
      <c r="AA18" s="106">
        <v>111.56</v>
      </c>
      <c r="AB18" s="233">
        <f t="shared" si="8"/>
        <v>111.56</v>
      </c>
    </row>
    <row r="19" spans="1:28" ht="16.5" customHeight="1">
      <c r="A19" s="484">
        <v>7</v>
      </c>
      <c r="B19" s="224" t="s">
        <v>837</v>
      </c>
      <c r="C19" s="230">
        <v>85.049487</v>
      </c>
      <c r="D19" s="230">
        <v>3.899999967416079E-06</v>
      </c>
      <c r="E19" s="230">
        <v>26.65</v>
      </c>
      <c r="F19" s="230">
        <f t="shared" si="0"/>
        <v>2285.6666666666665</v>
      </c>
      <c r="G19" s="230">
        <v>68.57</v>
      </c>
      <c r="H19" s="230">
        <f t="shared" si="1"/>
        <v>888.3333333333334</v>
      </c>
      <c r="I19" s="230">
        <v>26.65</v>
      </c>
      <c r="J19" s="230">
        <f t="shared" si="3"/>
        <v>41.919999999999995</v>
      </c>
      <c r="K19" s="230">
        <f t="shared" si="4"/>
        <v>3.899999967416079E-06</v>
      </c>
      <c r="L19" s="230">
        <v>66.77</v>
      </c>
      <c r="M19" s="230">
        <v>0</v>
      </c>
      <c r="P19" s="106">
        <f t="shared" si="2"/>
        <v>0</v>
      </c>
      <c r="R19" s="106">
        <f t="shared" si="5"/>
        <v>0</v>
      </c>
      <c r="S19" s="233">
        <f t="shared" si="6"/>
        <v>0</v>
      </c>
      <c r="T19" s="233">
        <f t="shared" si="7"/>
        <v>0</v>
      </c>
      <c r="X19" s="224" t="s">
        <v>837</v>
      </c>
      <c r="AB19" s="233">
        <f t="shared" si="8"/>
        <v>0</v>
      </c>
    </row>
    <row r="20" spans="1:28" ht="16.5" customHeight="1">
      <c r="A20" s="484">
        <v>8</v>
      </c>
      <c r="B20" s="224" t="s">
        <v>838</v>
      </c>
      <c r="C20" s="230">
        <v>160.30633650000001</v>
      </c>
      <c r="D20" s="230">
        <v>-2.7600000009897485E-05</v>
      </c>
      <c r="E20" s="230">
        <v>211.901</v>
      </c>
      <c r="F20" s="230">
        <v>4924.85</v>
      </c>
      <c r="G20" s="230">
        <v>147.75</v>
      </c>
      <c r="H20" s="230">
        <f t="shared" si="1"/>
        <v>2037.3666666666666</v>
      </c>
      <c r="I20" s="230">
        <v>61.121</v>
      </c>
      <c r="J20" s="230">
        <f t="shared" si="3"/>
        <v>86.62899999999999</v>
      </c>
      <c r="K20" s="230">
        <f t="shared" si="4"/>
        <v>150.7799724</v>
      </c>
      <c r="L20" s="230">
        <v>150.78</v>
      </c>
      <c r="M20" s="230">
        <v>150.78</v>
      </c>
      <c r="O20" s="106">
        <v>15078000</v>
      </c>
      <c r="P20" s="106">
        <f t="shared" si="2"/>
        <v>15078000</v>
      </c>
      <c r="R20" s="106">
        <f t="shared" si="5"/>
        <v>15078000</v>
      </c>
      <c r="S20" s="233">
        <f t="shared" si="6"/>
        <v>150.78</v>
      </c>
      <c r="T20" s="233">
        <f t="shared" si="7"/>
        <v>150.78</v>
      </c>
      <c r="X20" s="224" t="s">
        <v>838</v>
      </c>
      <c r="AA20" s="106">
        <v>150.78</v>
      </c>
      <c r="AB20" s="233">
        <f t="shared" si="8"/>
        <v>150.78</v>
      </c>
    </row>
    <row r="21" spans="1:28" ht="16.5" customHeight="1">
      <c r="A21" s="484">
        <v>9</v>
      </c>
      <c r="B21" s="224" t="s">
        <v>839</v>
      </c>
      <c r="C21" s="230">
        <v>214.060659</v>
      </c>
      <c r="D21" s="230">
        <v>2.5499999992462108E-05</v>
      </c>
      <c r="E21" s="230">
        <v>179.11200000000002</v>
      </c>
      <c r="F21" s="230">
        <f t="shared" si="0"/>
        <v>3477.3333333333335</v>
      </c>
      <c r="G21" s="230">
        <v>104.32</v>
      </c>
      <c r="H21" s="230">
        <f t="shared" si="1"/>
        <v>2549.0333333333333</v>
      </c>
      <c r="I21" s="230">
        <v>76.471</v>
      </c>
      <c r="J21" s="230">
        <f t="shared" si="3"/>
        <v>27.84899999999999</v>
      </c>
      <c r="K21" s="230">
        <f t="shared" si="4"/>
        <v>102.64102550000001</v>
      </c>
      <c r="L21" s="230">
        <v>327.7</v>
      </c>
      <c r="M21" s="230">
        <v>102.641</v>
      </c>
      <c r="O21" s="106">
        <v>10264100</v>
      </c>
      <c r="P21" s="106">
        <f t="shared" si="2"/>
        <v>10264100</v>
      </c>
      <c r="Q21" s="106">
        <v>20188000</v>
      </c>
      <c r="R21" s="106">
        <f t="shared" si="5"/>
        <v>30452100</v>
      </c>
      <c r="S21" s="233">
        <f t="shared" si="6"/>
        <v>304.521</v>
      </c>
      <c r="T21" s="233">
        <f t="shared" si="7"/>
        <v>102.641</v>
      </c>
      <c r="X21" s="224" t="s">
        <v>839</v>
      </c>
      <c r="Z21" s="106">
        <v>202.26</v>
      </c>
      <c r="AA21" s="106">
        <v>201.88</v>
      </c>
      <c r="AB21" s="233">
        <f t="shared" si="8"/>
        <v>404.14</v>
      </c>
    </row>
    <row r="22" spans="1:28" ht="16.5" customHeight="1">
      <c r="A22" s="484">
        <v>10</v>
      </c>
      <c r="B22" s="224" t="s">
        <v>840</v>
      </c>
      <c r="C22" s="230">
        <v>72.70927800000001</v>
      </c>
      <c r="D22" s="230">
        <v>-1.460000004271933E-05</v>
      </c>
      <c r="E22" s="230">
        <v>220.079</v>
      </c>
      <c r="F22" s="230">
        <f t="shared" si="0"/>
        <v>1442</v>
      </c>
      <c r="G22" s="230">
        <v>43.26</v>
      </c>
      <c r="H22" s="230">
        <f t="shared" si="1"/>
        <v>1027.6333333333334</v>
      </c>
      <c r="I22" s="230">
        <v>30.829</v>
      </c>
      <c r="J22" s="230">
        <f t="shared" si="3"/>
        <v>12.430999999999997</v>
      </c>
      <c r="K22" s="230">
        <f t="shared" si="4"/>
        <v>189.24998539999996</v>
      </c>
      <c r="L22" s="230">
        <v>276.8</v>
      </c>
      <c r="M22" s="230">
        <v>189.25</v>
      </c>
      <c r="O22" s="106">
        <v>18925000</v>
      </c>
      <c r="P22" s="106">
        <f t="shared" si="2"/>
        <v>18925000</v>
      </c>
      <c r="Q22" s="106">
        <v>333000</v>
      </c>
      <c r="R22" s="106">
        <f t="shared" si="5"/>
        <v>19258000</v>
      </c>
      <c r="S22" s="233">
        <f t="shared" si="6"/>
        <v>192.58</v>
      </c>
      <c r="T22" s="233">
        <f t="shared" si="7"/>
        <v>189.25</v>
      </c>
      <c r="X22" s="224" t="s">
        <v>840</v>
      </c>
      <c r="Y22" s="106">
        <v>44.81</v>
      </c>
      <c r="Z22" s="106">
        <v>144.44</v>
      </c>
      <c r="AA22" s="106">
        <v>87.55</v>
      </c>
      <c r="AB22" s="233">
        <f t="shared" si="8"/>
        <v>276.8</v>
      </c>
    </row>
    <row r="23" spans="1:28" ht="16.5" customHeight="1">
      <c r="A23" s="484">
        <v>11</v>
      </c>
      <c r="B23" s="224" t="s">
        <v>841</v>
      </c>
      <c r="C23" s="230">
        <v>105.891954</v>
      </c>
      <c r="D23" s="230">
        <v>2.5300000061179162E-05</v>
      </c>
      <c r="E23" s="230">
        <v>43.297</v>
      </c>
      <c r="F23" s="230">
        <v>2840.32</v>
      </c>
      <c r="G23" s="230">
        <v>85.21</v>
      </c>
      <c r="H23" s="230">
        <f t="shared" si="1"/>
        <v>1443.2333333333333</v>
      </c>
      <c r="I23" s="230">
        <v>43.297</v>
      </c>
      <c r="J23" s="230">
        <f t="shared" si="3"/>
        <v>41.913</v>
      </c>
      <c r="K23" s="230">
        <f t="shared" si="4"/>
        <v>2.5300000061179162E-05</v>
      </c>
      <c r="L23" s="230">
        <v>97.78</v>
      </c>
      <c r="M23" s="230">
        <v>0</v>
      </c>
      <c r="P23" s="106">
        <f aca="true" t="shared" si="9" ref="P23:P36">SUM(N23:O23)</f>
        <v>0</v>
      </c>
      <c r="Q23" s="106">
        <v>9778000</v>
      </c>
      <c r="R23" s="106">
        <f t="shared" si="5"/>
        <v>9778000</v>
      </c>
      <c r="S23" s="233">
        <f t="shared" si="6"/>
        <v>97.78</v>
      </c>
      <c r="T23" s="233">
        <f t="shared" si="7"/>
        <v>0</v>
      </c>
      <c r="X23" s="224" t="s">
        <v>841</v>
      </c>
      <c r="AA23" s="106">
        <v>97.78</v>
      </c>
      <c r="AB23" s="233">
        <f t="shared" si="8"/>
        <v>97.78</v>
      </c>
    </row>
    <row r="24" spans="1:28" ht="16.5" customHeight="1">
      <c r="A24" s="484">
        <v>12</v>
      </c>
      <c r="B24" s="224" t="s">
        <v>842</v>
      </c>
      <c r="C24" s="230">
        <v>127.4015295</v>
      </c>
      <c r="D24" s="230">
        <v>-165.26988599999999</v>
      </c>
      <c r="E24" s="230">
        <v>118.42501</v>
      </c>
      <c r="F24" s="230">
        <f t="shared" si="0"/>
        <v>3413.3333333333335</v>
      </c>
      <c r="G24" s="230">
        <v>102.4</v>
      </c>
      <c r="H24" s="230">
        <f t="shared" si="1"/>
        <v>1823.7333333333333</v>
      </c>
      <c r="I24" s="230">
        <v>54.712</v>
      </c>
      <c r="J24" s="230">
        <f t="shared" si="3"/>
        <v>47.688</v>
      </c>
      <c r="K24" s="230">
        <f t="shared" si="4"/>
        <v>-101.55687599999999</v>
      </c>
      <c r="L24" s="230">
        <v>227.79000000000002</v>
      </c>
      <c r="M24" s="230">
        <v>63.71301</v>
      </c>
      <c r="N24" s="106">
        <v>6371301</v>
      </c>
      <c r="P24" s="106">
        <f t="shared" si="9"/>
        <v>6371301</v>
      </c>
      <c r="R24" s="106">
        <f t="shared" si="5"/>
        <v>6371301</v>
      </c>
      <c r="S24" s="233">
        <f t="shared" si="6"/>
        <v>63.71301</v>
      </c>
      <c r="T24" s="233">
        <f t="shared" si="7"/>
        <v>63.71301</v>
      </c>
      <c r="X24" s="224" t="s">
        <v>842</v>
      </c>
      <c r="Y24" s="106">
        <v>12.94</v>
      </c>
      <c r="Z24" s="106">
        <v>50.77</v>
      </c>
      <c r="AA24" s="106">
        <v>164.08</v>
      </c>
      <c r="AB24" s="233">
        <f t="shared" si="8"/>
        <v>227.79000000000002</v>
      </c>
    </row>
    <row r="25" spans="1:28" ht="16.5" customHeight="1">
      <c r="A25" s="484">
        <v>13</v>
      </c>
      <c r="B25" s="224" t="s">
        <v>843</v>
      </c>
      <c r="C25" s="230">
        <v>56.817387</v>
      </c>
      <c r="D25" s="230">
        <v>1.5199999978676715E-05</v>
      </c>
      <c r="E25" s="230">
        <v>43.027730000000005</v>
      </c>
      <c r="F25" s="230">
        <v>1917.27</v>
      </c>
      <c r="G25" s="230">
        <v>57.518</v>
      </c>
      <c r="H25" s="230">
        <f t="shared" si="1"/>
        <v>794.9</v>
      </c>
      <c r="I25" s="230">
        <v>23.847</v>
      </c>
      <c r="J25" s="230">
        <f t="shared" si="3"/>
        <v>33.671</v>
      </c>
      <c r="K25" s="230">
        <f t="shared" si="4"/>
        <v>19.180745199999983</v>
      </c>
      <c r="L25" s="230">
        <f>19.18+72.35</f>
        <v>91.53</v>
      </c>
      <c r="M25" s="230">
        <v>19.18073</v>
      </c>
      <c r="N25" s="106">
        <v>1918073</v>
      </c>
      <c r="P25" s="106">
        <f t="shared" si="9"/>
        <v>1918073</v>
      </c>
      <c r="R25" s="106">
        <f t="shared" si="5"/>
        <v>1918073</v>
      </c>
      <c r="S25" s="233">
        <f t="shared" si="6"/>
        <v>19.18073</v>
      </c>
      <c r="T25" s="233">
        <f t="shared" si="7"/>
        <v>19.18073</v>
      </c>
      <c r="X25" s="224" t="s">
        <v>843</v>
      </c>
      <c r="Z25" s="106">
        <v>22.59</v>
      </c>
      <c r="AA25" s="106">
        <v>72.35</v>
      </c>
      <c r="AB25" s="233">
        <f t="shared" si="8"/>
        <v>94.94</v>
      </c>
    </row>
    <row r="26" spans="1:28" ht="16.5" customHeight="1">
      <c r="A26" s="484">
        <v>14</v>
      </c>
      <c r="B26" s="224" t="s">
        <v>844</v>
      </c>
      <c r="C26" s="230">
        <v>64.149351</v>
      </c>
      <c r="D26" s="230">
        <v>-110.69265180000002</v>
      </c>
      <c r="E26" s="230">
        <v>90.34563</v>
      </c>
      <c r="F26" s="230">
        <f t="shared" si="0"/>
        <v>1153.6666666666667</v>
      </c>
      <c r="G26" s="230">
        <v>34.61</v>
      </c>
      <c r="H26" s="230">
        <f t="shared" si="1"/>
        <v>849.4666666666667</v>
      </c>
      <c r="I26" s="230">
        <v>25.484</v>
      </c>
      <c r="J26" s="230">
        <f t="shared" si="3"/>
        <v>9.125999999999998</v>
      </c>
      <c r="K26" s="230">
        <f t="shared" si="4"/>
        <v>-45.83102180000002</v>
      </c>
      <c r="L26" s="230">
        <v>132.98</v>
      </c>
      <c r="M26" s="230">
        <v>64.86163</v>
      </c>
      <c r="N26" s="106">
        <v>6486163</v>
      </c>
      <c r="P26" s="106">
        <f t="shared" si="9"/>
        <v>6486163</v>
      </c>
      <c r="R26" s="106">
        <f t="shared" si="5"/>
        <v>6486163</v>
      </c>
      <c r="S26" s="233">
        <f t="shared" si="6"/>
        <v>64.86163</v>
      </c>
      <c r="T26" s="233">
        <f t="shared" si="7"/>
        <v>64.86163</v>
      </c>
      <c r="X26" s="224" t="s">
        <v>844</v>
      </c>
      <c r="Y26" s="106">
        <v>21.53</v>
      </c>
      <c r="Z26" s="106">
        <v>43.33</v>
      </c>
      <c r="AA26" s="106">
        <v>68.05</v>
      </c>
      <c r="AB26" s="233">
        <f t="shared" si="8"/>
        <v>132.91</v>
      </c>
    </row>
    <row r="27" spans="1:28" ht="16.5" customHeight="1">
      <c r="A27" s="484">
        <v>15</v>
      </c>
      <c r="B27" s="224" t="s">
        <v>845</v>
      </c>
      <c r="C27" s="230">
        <v>123.18834899999999</v>
      </c>
      <c r="D27" s="230">
        <v>-78.25085630000001</v>
      </c>
      <c r="E27" s="230">
        <v>150.83547</v>
      </c>
      <c r="F27" s="230">
        <f t="shared" si="0"/>
        <v>3462</v>
      </c>
      <c r="G27" s="230">
        <v>103.86</v>
      </c>
      <c r="H27" s="230">
        <f t="shared" si="1"/>
        <v>1547.0333333333333</v>
      </c>
      <c r="I27" s="230">
        <v>46.411</v>
      </c>
      <c r="J27" s="230">
        <f t="shared" si="3"/>
        <v>57.449</v>
      </c>
      <c r="K27" s="230">
        <f t="shared" si="4"/>
        <v>26.173613699999976</v>
      </c>
      <c r="L27" s="230">
        <v>227.12</v>
      </c>
      <c r="M27" s="230">
        <v>104.42447</v>
      </c>
      <c r="N27" s="106">
        <v>10442447</v>
      </c>
      <c r="P27" s="106">
        <f t="shared" si="9"/>
        <v>10442447</v>
      </c>
      <c r="R27" s="106">
        <f t="shared" si="5"/>
        <v>10442447</v>
      </c>
      <c r="S27" s="233">
        <f t="shared" si="6"/>
        <v>104.42447</v>
      </c>
      <c r="T27" s="233">
        <f t="shared" si="7"/>
        <v>104.42447</v>
      </c>
      <c r="X27" s="224" t="s">
        <v>845</v>
      </c>
      <c r="Y27" s="106">
        <v>67.04</v>
      </c>
      <c r="Z27" s="106">
        <v>37.38</v>
      </c>
      <c r="AA27" s="106">
        <v>122.7</v>
      </c>
      <c r="AB27" s="233">
        <f t="shared" si="8"/>
        <v>227.12</v>
      </c>
    </row>
    <row r="28" spans="1:28" s="534" customFormat="1" ht="16.5" customHeight="1">
      <c r="A28" s="484">
        <v>16</v>
      </c>
      <c r="B28" s="224" t="s">
        <v>846</v>
      </c>
      <c r="C28" s="230">
        <v>198.30364199999997</v>
      </c>
      <c r="D28" s="230">
        <v>-2.690000005145521E-05</v>
      </c>
      <c r="E28" s="230">
        <v>70.135</v>
      </c>
      <c r="F28" s="230">
        <v>5683.67</v>
      </c>
      <c r="G28" s="230">
        <v>170.51</v>
      </c>
      <c r="H28" s="230">
        <f t="shared" si="1"/>
        <v>2337.8333333333335</v>
      </c>
      <c r="I28" s="230">
        <v>70.135</v>
      </c>
      <c r="J28" s="230">
        <f t="shared" si="3"/>
        <v>100.37499999999999</v>
      </c>
      <c r="K28" s="230">
        <f t="shared" si="4"/>
        <v>-2.690000005145521E-05</v>
      </c>
      <c r="L28" s="230">
        <v>178.38</v>
      </c>
      <c r="M28" s="230">
        <v>0</v>
      </c>
      <c r="P28" s="106">
        <f t="shared" si="9"/>
        <v>0</v>
      </c>
      <c r="Q28" s="106"/>
      <c r="R28" s="106">
        <f t="shared" si="5"/>
        <v>0</v>
      </c>
      <c r="S28" s="233">
        <f t="shared" si="6"/>
        <v>0</v>
      </c>
      <c r="T28" s="233">
        <f t="shared" si="7"/>
        <v>0</v>
      </c>
      <c r="U28" s="534">
        <v>12209000</v>
      </c>
      <c r="V28" s="534">
        <f>W28-U28</f>
        <v>1011264</v>
      </c>
      <c r="W28" s="534">
        <v>13220264</v>
      </c>
      <c r="X28" s="224" t="s">
        <v>846</v>
      </c>
      <c r="AA28" s="534">
        <v>178.38</v>
      </c>
      <c r="AB28" s="233">
        <f t="shared" si="8"/>
        <v>178.38</v>
      </c>
    </row>
    <row r="29" spans="1:28" s="534" customFormat="1" ht="16.5" customHeight="1">
      <c r="A29" s="484">
        <v>17</v>
      </c>
      <c r="B29" s="224" t="s">
        <v>847</v>
      </c>
      <c r="C29" s="230">
        <v>139.974066</v>
      </c>
      <c r="D29" s="230">
        <v>122.09</v>
      </c>
      <c r="E29" s="230">
        <v>65.88201000000001</v>
      </c>
      <c r="F29" s="230">
        <v>4526.08</v>
      </c>
      <c r="G29" s="230">
        <v>135.78</v>
      </c>
      <c r="H29" s="230">
        <f>I29*100000/3000</f>
        <v>1859</v>
      </c>
      <c r="I29" s="230">
        <v>55.77</v>
      </c>
      <c r="J29" s="230">
        <f t="shared" si="3"/>
        <v>80.00999999999999</v>
      </c>
      <c r="K29" s="230">
        <f t="shared" si="4"/>
        <v>132.20201</v>
      </c>
      <c r="L29" s="230">
        <v>274.15999999999997</v>
      </c>
      <c r="M29" s="230">
        <v>132.2</v>
      </c>
      <c r="N29" s="106">
        <v>1011264</v>
      </c>
      <c r="P29" s="106">
        <f>SUM(N29:O29)</f>
        <v>1011264</v>
      </c>
      <c r="Q29" s="106"/>
      <c r="R29" s="106">
        <f t="shared" si="5"/>
        <v>1011264</v>
      </c>
      <c r="S29" s="233">
        <f t="shared" si="6"/>
        <v>10.11264</v>
      </c>
      <c r="T29" s="233">
        <f t="shared" si="7"/>
        <v>10.11264</v>
      </c>
      <c r="X29" s="224" t="s">
        <v>847</v>
      </c>
      <c r="Z29" s="534">
        <v>132.2</v>
      </c>
      <c r="AA29" s="534">
        <v>141.96</v>
      </c>
      <c r="AB29" s="233">
        <f t="shared" si="8"/>
        <v>274.15999999999997</v>
      </c>
    </row>
    <row r="30" spans="1:28" ht="16.5" customHeight="1">
      <c r="A30" s="484">
        <v>18</v>
      </c>
      <c r="B30" s="224" t="s">
        <v>848</v>
      </c>
      <c r="C30" s="230">
        <v>114.03520499999999</v>
      </c>
      <c r="D30" s="230">
        <v>1.719999994520549E-05</v>
      </c>
      <c r="E30" s="230">
        <v>47.72</v>
      </c>
      <c r="F30" s="230">
        <v>3188.16</v>
      </c>
      <c r="G30" s="230">
        <v>95.64</v>
      </c>
      <c r="H30" s="230">
        <f t="shared" si="1"/>
        <v>1590.6666666666667</v>
      </c>
      <c r="I30" s="230">
        <v>47.72</v>
      </c>
      <c r="J30" s="230">
        <f t="shared" si="3"/>
        <v>47.92</v>
      </c>
      <c r="K30" s="230">
        <f t="shared" si="4"/>
        <v>1.719999994520549E-05</v>
      </c>
      <c r="L30" s="230">
        <v>129.58</v>
      </c>
      <c r="M30" s="230">
        <v>0</v>
      </c>
      <c r="P30" s="106">
        <f t="shared" si="9"/>
        <v>0</v>
      </c>
      <c r="R30" s="106">
        <f t="shared" si="5"/>
        <v>0</v>
      </c>
      <c r="S30" s="233">
        <f t="shared" si="6"/>
        <v>0</v>
      </c>
      <c r="T30" s="233">
        <f t="shared" si="7"/>
        <v>0</v>
      </c>
      <c r="X30" s="224" t="s">
        <v>848</v>
      </c>
      <c r="AA30" s="106">
        <v>129.91</v>
      </c>
      <c r="AB30" s="233">
        <f t="shared" si="8"/>
        <v>129.91</v>
      </c>
    </row>
    <row r="31" spans="1:28" ht="16.5" customHeight="1">
      <c r="A31" s="484">
        <v>19</v>
      </c>
      <c r="B31" s="224" t="s">
        <v>849</v>
      </c>
      <c r="C31" s="230">
        <v>104.0610465</v>
      </c>
      <c r="D31" s="230">
        <v>-15.213406700000036</v>
      </c>
      <c r="E31" s="230">
        <v>109.73841000000002</v>
      </c>
      <c r="F31" s="230">
        <f t="shared" si="0"/>
        <v>4870.666666666667</v>
      </c>
      <c r="G31" s="230">
        <v>146.12</v>
      </c>
      <c r="H31" s="230">
        <f t="shared" si="1"/>
        <v>1470.8</v>
      </c>
      <c r="I31" s="230">
        <v>44.124</v>
      </c>
      <c r="J31" s="230">
        <f t="shared" si="3"/>
        <v>101.99600000000001</v>
      </c>
      <c r="K31" s="230">
        <f t="shared" si="4"/>
        <v>50.40100329999998</v>
      </c>
      <c r="L31" s="230">
        <v>167.07999999999998</v>
      </c>
      <c r="M31" s="230">
        <v>65.61441</v>
      </c>
      <c r="N31" s="106">
        <v>6561441</v>
      </c>
      <c r="P31" s="106">
        <f t="shared" si="9"/>
        <v>6561441</v>
      </c>
      <c r="R31" s="106">
        <f t="shared" si="5"/>
        <v>6561441</v>
      </c>
      <c r="S31" s="233">
        <f t="shared" si="6"/>
        <v>65.61441</v>
      </c>
      <c r="T31" s="233">
        <f t="shared" si="7"/>
        <v>65.61441</v>
      </c>
      <c r="X31" s="224" t="s">
        <v>849</v>
      </c>
      <c r="Y31" s="106">
        <v>14.16</v>
      </c>
      <c r="Z31" s="106">
        <v>51.45</v>
      </c>
      <c r="AA31" s="106">
        <v>101.47</v>
      </c>
      <c r="AB31" s="233">
        <f t="shared" si="8"/>
        <v>167.07999999999998</v>
      </c>
    </row>
    <row r="32" spans="1:28" ht="16.5" customHeight="1">
      <c r="A32" s="484">
        <v>20</v>
      </c>
      <c r="B32" s="224" t="s">
        <v>850</v>
      </c>
      <c r="C32" s="230">
        <v>72.59192999999999</v>
      </c>
      <c r="D32" s="230">
        <v>2.390000000218606E-05</v>
      </c>
      <c r="E32" s="230">
        <v>95.76596</v>
      </c>
      <c r="F32" s="230">
        <f t="shared" si="0"/>
        <v>2163.6666666666665</v>
      </c>
      <c r="G32" s="230">
        <v>64.91</v>
      </c>
      <c r="H32" s="230">
        <f t="shared" si="1"/>
        <v>876.5</v>
      </c>
      <c r="I32" s="230">
        <v>26.295</v>
      </c>
      <c r="J32" s="230">
        <f t="shared" si="3"/>
        <v>38.614999999999995</v>
      </c>
      <c r="K32" s="230">
        <f t="shared" si="4"/>
        <v>69.47098390000001</v>
      </c>
      <c r="L32" s="230">
        <v>151.74</v>
      </c>
      <c r="M32" s="230">
        <v>69.47096</v>
      </c>
      <c r="N32" s="106">
        <v>6619096</v>
      </c>
      <c r="O32" s="106">
        <v>328000</v>
      </c>
      <c r="P32" s="106">
        <f t="shared" si="9"/>
        <v>6947096</v>
      </c>
      <c r="R32" s="106">
        <f t="shared" si="5"/>
        <v>6947096</v>
      </c>
      <c r="S32" s="233">
        <f t="shared" si="6"/>
        <v>69.47096</v>
      </c>
      <c r="T32" s="233">
        <f t="shared" si="7"/>
        <v>69.47096</v>
      </c>
      <c r="X32" s="224" t="s">
        <v>850</v>
      </c>
      <c r="Y32" s="106">
        <v>35.73</v>
      </c>
      <c r="Z32" s="106">
        <v>30.46</v>
      </c>
      <c r="AA32" s="106">
        <v>74.87</v>
      </c>
      <c r="AB32" s="233">
        <f t="shared" si="8"/>
        <v>141.06</v>
      </c>
    </row>
    <row r="33" spans="1:28" ht="16.5" customHeight="1">
      <c r="A33" s="484">
        <v>21</v>
      </c>
      <c r="B33" s="224" t="s">
        <v>851</v>
      </c>
      <c r="C33" s="230">
        <v>106.54083299999999</v>
      </c>
      <c r="D33" s="230">
        <v>-33.866589999999974</v>
      </c>
      <c r="E33" s="230">
        <v>157.39149</v>
      </c>
      <c r="F33" s="230">
        <f t="shared" si="0"/>
        <v>1818.6666666666667</v>
      </c>
      <c r="G33" s="230">
        <v>54.56</v>
      </c>
      <c r="H33" s="230">
        <f t="shared" si="1"/>
        <v>1348.8333333333335</v>
      </c>
      <c r="I33" s="230">
        <v>40.465</v>
      </c>
      <c r="J33" s="230">
        <f t="shared" si="3"/>
        <v>14.094999999999999</v>
      </c>
      <c r="K33" s="230">
        <f t="shared" si="4"/>
        <v>83.05990000000003</v>
      </c>
      <c r="L33" s="230">
        <v>212.07999999999998</v>
      </c>
      <c r="M33" s="230">
        <v>116.92649</v>
      </c>
      <c r="N33" s="106">
        <v>11692649</v>
      </c>
      <c r="P33" s="106">
        <f t="shared" si="9"/>
        <v>11692649</v>
      </c>
      <c r="R33" s="106">
        <f t="shared" si="5"/>
        <v>11692649</v>
      </c>
      <c r="S33" s="233">
        <f t="shared" si="6"/>
        <v>116.92649</v>
      </c>
      <c r="T33" s="233">
        <f t="shared" si="7"/>
        <v>116.92649</v>
      </c>
      <c r="X33" s="224" t="s">
        <v>851</v>
      </c>
      <c r="Y33" s="106">
        <v>54.06</v>
      </c>
      <c r="Z33" s="106">
        <v>62.86</v>
      </c>
      <c r="AA33" s="106">
        <v>95.16</v>
      </c>
      <c r="AB33" s="233">
        <f t="shared" si="8"/>
        <v>212.07999999999998</v>
      </c>
    </row>
    <row r="34" spans="1:28" ht="16.5" customHeight="1">
      <c r="A34" s="484">
        <v>22</v>
      </c>
      <c r="B34" s="224" t="s">
        <v>852</v>
      </c>
      <c r="C34" s="230">
        <v>83.275767</v>
      </c>
      <c r="D34" s="230">
        <v>1.9499999964978088E-05</v>
      </c>
      <c r="E34" s="230">
        <v>51.048</v>
      </c>
      <c r="F34" s="230">
        <f t="shared" si="0"/>
        <v>2465</v>
      </c>
      <c r="G34" s="230">
        <v>73.95</v>
      </c>
      <c r="H34" s="230">
        <f t="shared" si="1"/>
        <v>1027.2666666666667</v>
      </c>
      <c r="I34" s="230">
        <v>30.818</v>
      </c>
      <c r="J34" s="230">
        <f t="shared" si="3"/>
        <v>43.132000000000005</v>
      </c>
      <c r="K34" s="230">
        <f t="shared" si="4"/>
        <v>20.230019499999965</v>
      </c>
      <c r="L34" s="230">
        <v>52.85</v>
      </c>
      <c r="M34" s="230">
        <v>20.23</v>
      </c>
      <c r="N34" s="106">
        <v>2023000</v>
      </c>
      <c r="P34" s="106">
        <f t="shared" si="9"/>
        <v>2023000</v>
      </c>
      <c r="R34" s="106">
        <f t="shared" si="5"/>
        <v>2023000</v>
      </c>
      <c r="S34" s="233">
        <f t="shared" si="6"/>
        <v>20.23</v>
      </c>
      <c r="T34" s="233">
        <f t="shared" si="7"/>
        <v>20.23</v>
      </c>
      <c r="X34" s="224" t="s">
        <v>852</v>
      </c>
      <c r="Z34" s="106">
        <v>20.23</v>
      </c>
      <c r="AA34" s="106">
        <v>52.85</v>
      </c>
      <c r="AB34" s="233">
        <f t="shared" si="8"/>
        <v>73.08</v>
      </c>
    </row>
    <row r="35" spans="1:28" ht="16.5" customHeight="1">
      <c r="A35" s="484">
        <v>23</v>
      </c>
      <c r="B35" s="224" t="s">
        <v>853</v>
      </c>
      <c r="C35" s="230">
        <v>122.267148</v>
      </c>
      <c r="D35" s="230">
        <v>-98.4480006</v>
      </c>
      <c r="E35" s="230">
        <v>49.586</v>
      </c>
      <c r="F35" s="230">
        <f t="shared" si="0"/>
        <v>3152.6666666666665</v>
      </c>
      <c r="G35" s="230">
        <v>94.58</v>
      </c>
      <c r="H35" s="230">
        <f t="shared" si="1"/>
        <v>1652.8666666666666</v>
      </c>
      <c r="I35" s="230">
        <v>49.586</v>
      </c>
      <c r="J35" s="230">
        <f t="shared" si="3"/>
        <v>44.994</v>
      </c>
      <c r="K35" s="230">
        <f t="shared" si="4"/>
        <v>-98.4480006</v>
      </c>
      <c r="L35" s="230">
        <v>90.57</v>
      </c>
      <c r="M35" s="230">
        <v>0</v>
      </c>
      <c r="P35" s="106">
        <f t="shared" si="9"/>
        <v>0</v>
      </c>
      <c r="Q35" s="106">
        <v>8336023</v>
      </c>
      <c r="R35" s="106">
        <f t="shared" si="5"/>
        <v>8336023</v>
      </c>
      <c r="S35" s="233">
        <f t="shared" si="6"/>
        <v>83.36023</v>
      </c>
      <c r="T35" s="233">
        <f t="shared" si="7"/>
        <v>0</v>
      </c>
      <c r="X35" s="224" t="s">
        <v>853</v>
      </c>
      <c r="AA35" s="106">
        <v>90.57</v>
      </c>
      <c r="AB35" s="233">
        <f t="shared" si="8"/>
        <v>90.57</v>
      </c>
    </row>
    <row r="36" spans="1:28" ht="16.5" customHeight="1">
      <c r="A36" s="484">
        <v>24</v>
      </c>
      <c r="B36" s="224" t="s">
        <v>854</v>
      </c>
      <c r="C36" s="230">
        <v>125.587125</v>
      </c>
      <c r="D36" s="230">
        <v>-6.683632899999964</v>
      </c>
      <c r="E36" s="230">
        <v>150.33806</v>
      </c>
      <c r="F36" s="230">
        <f t="shared" si="0"/>
        <v>3620</v>
      </c>
      <c r="G36" s="230">
        <v>108.6</v>
      </c>
      <c r="H36" s="230">
        <f t="shared" si="1"/>
        <v>1284.1000000000001</v>
      </c>
      <c r="I36" s="230">
        <v>38.523</v>
      </c>
      <c r="J36" s="230">
        <f t="shared" si="3"/>
        <v>70.077</v>
      </c>
      <c r="K36" s="230">
        <f t="shared" si="4"/>
        <v>105.13142710000005</v>
      </c>
      <c r="L36" s="230">
        <v>204.25</v>
      </c>
      <c r="M36" s="230">
        <v>111.81506</v>
      </c>
      <c r="N36" s="106">
        <v>9182192</v>
      </c>
      <c r="O36" s="106">
        <v>1999314</v>
      </c>
      <c r="P36" s="106">
        <f t="shared" si="9"/>
        <v>11181506</v>
      </c>
      <c r="R36" s="106">
        <f t="shared" si="5"/>
        <v>11181506</v>
      </c>
      <c r="S36" s="233">
        <f t="shared" si="6"/>
        <v>111.81506</v>
      </c>
      <c r="T36" s="233">
        <f t="shared" si="7"/>
        <v>111.81506</v>
      </c>
      <c r="X36" s="224" t="s">
        <v>854</v>
      </c>
      <c r="Y36" s="106">
        <v>78.46</v>
      </c>
      <c r="Z36" s="106">
        <v>13.36</v>
      </c>
      <c r="AA36" s="106">
        <v>112.43</v>
      </c>
      <c r="AB36" s="233">
        <f t="shared" si="8"/>
        <v>204.25</v>
      </c>
    </row>
    <row r="37" spans="1:28" s="148" customFormat="1" ht="16.5" customHeight="1">
      <c r="A37" s="718" t="s">
        <v>83</v>
      </c>
      <c r="B37" s="718"/>
      <c r="C37" s="231">
        <f>SUM(C13:C36)</f>
        <v>2640.5691825</v>
      </c>
      <c r="D37" s="231">
        <f>SUM(D13:D36)</f>
        <v>-555.6655574000004</v>
      </c>
      <c r="E37" s="231">
        <f>SUM(E13:E36)</f>
        <v>2503.53</v>
      </c>
      <c r="F37" s="232">
        <f t="shared" si="0"/>
        <v>72706.86666666665</v>
      </c>
      <c r="G37" s="232">
        <f aca="true" t="shared" si="10" ref="G37:M37">SUM(G13:G36)</f>
        <v>2181.2059999999997</v>
      </c>
      <c r="H37" s="232">
        <f t="shared" si="10"/>
        <v>33428.34099999999</v>
      </c>
      <c r="I37" s="232">
        <f t="shared" si="10"/>
        <v>1002.8502300000001</v>
      </c>
      <c r="J37" s="232">
        <f t="shared" si="10"/>
        <v>1178.35577</v>
      </c>
      <c r="K37" s="232">
        <f t="shared" si="10"/>
        <v>945.0142125999996</v>
      </c>
      <c r="L37" s="232">
        <f t="shared" si="10"/>
        <v>3524.0199999999995</v>
      </c>
      <c r="M37" s="232">
        <f t="shared" si="10"/>
        <v>1622.7677600000002</v>
      </c>
      <c r="N37" s="148">
        <f>SUM(N24:N36)</f>
        <v>62307626</v>
      </c>
      <c r="O37" s="148">
        <f>SUM(O13:O36)</f>
        <v>87760414</v>
      </c>
      <c r="P37" s="148">
        <f>SUM(P13:P36)</f>
        <v>150068040</v>
      </c>
      <c r="Q37" s="148">
        <f>SUM(Q13:Q36)</f>
        <v>50215023</v>
      </c>
      <c r="R37" s="148">
        <f t="shared" si="5"/>
        <v>200283063</v>
      </c>
      <c r="S37" s="234">
        <f t="shared" si="6"/>
        <v>2002.83063</v>
      </c>
      <c r="T37" s="234">
        <f t="shared" si="7"/>
        <v>1500.6804</v>
      </c>
      <c r="Y37" s="148">
        <f>SUM(Y14:Y36)</f>
        <v>328.72999999999996</v>
      </c>
      <c r="Z37" s="148">
        <f>SUM(Z14:Z36)</f>
        <v>881.8300000000002</v>
      </c>
      <c r="AA37" s="148">
        <f>SUM(AA13:AA36)</f>
        <v>2399.74</v>
      </c>
      <c r="AB37" s="234">
        <f>SUM(AB13:AB36)</f>
        <v>3610.2999999999997</v>
      </c>
    </row>
    <row r="38" spans="1:13" ht="12.75">
      <c r="A38" s="235"/>
      <c r="B38" s="235"/>
      <c r="C38" s="235"/>
      <c r="D38" s="235"/>
      <c r="E38" s="235"/>
      <c r="F38" s="235"/>
      <c r="G38" s="235"/>
      <c r="H38" s="235"/>
      <c r="I38" s="235"/>
      <c r="J38" s="235"/>
      <c r="K38" s="235"/>
      <c r="L38" s="235"/>
      <c r="M38" s="235"/>
    </row>
    <row r="39" spans="1:13" ht="12.75">
      <c r="A39" s="355"/>
      <c r="B39" s="355"/>
      <c r="C39" s="355"/>
      <c r="D39" s="355"/>
      <c r="E39" s="355"/>
      <c r="F39" s="355"/>
      <c r="G39" s="373"/>
      <c r="H39" s="355"/>
      <c r="I39" s="355"/>
      <c r="J39" s="355"/>
      <c r="K39" s="355"/>
      <c r="L39" s="373"/>
      <c r="M39" s="314"/>
    </row>
    <row r="40" spans="1:13" ht="12.75">
      <c r="A40" s="355"/>
      <c r="B40" s="355"/>
      <c r="C40" s="355"/>
      <c r="D40" s="355"/>
      <c r="E40" s="355"/>
      <c r="F40" s="355"/>
      <c r="G40" s="355"/>
      <c r="H40" s="355"/>
      <c r="I40" s="373"/>
      <c r="J40" s="355"/>
      <c r="K40" s="355"/>
      <c r="L40" s="373"/>
      <c r="M40" s="314"/>
    </row>
    <row r="41" spans="1:13" ht="12.75">
      <c r="A41" s="355"/>
      <c r="B41" s="355"/>
      <c r="C41" s="355"/>
      <c r="D41" s="355"/>
      <c r="E41" s="355"/>
      <c r="F41" s="355"/>
      <c r="G41" s="355"/>
      <c r="H41" s="355"/>
      <c r="I41" s="355"/>
      <c r="J41" s="355"/>
      <c r="K41" s="355"/>
      <c r="L41" s="355"/>
      <c r="M41" s="314"/>
    </row>
    <row r="42" spans="1:14" ht="12.75">
      <c r="A42" s="237"/>
      <c r="B42" s="237"/>
      <c r="C42" s="237"/>
      <c r="D42" s="237"/>
      <c r="E42" s="237"/>
      <c r="F42" s="237"/>
      <c r="G42" s="237"/>
      <c r="H42" s="237"/>
      <c r="I42" s="556"/>
      <c r="J42" s="237"/>
      <c r="K42" s="237"/>
      <c r="L42" s="237"/>
      <c r="M42" s="237"/>
      <c r="N42" s="12"/>
    </row>
    <row r="43" spans="1:14" ht="12.75">
      <c r="A43" s="559" t="s">
        <v>989</v>
      </c>
      <c r="B43" s="559"/>
      <c r="C43" s="559"/>
      <c r="D43" s="12"/>
      <c r="G43" s="559" t="s">
        <v>990</v>
      </c>
      <c r="H43" s="559"/>
      <c r="J43" s="235"/>
      <c r="K43" s="559" t="s">
        <v>996</v>
      </c>
      <c r="L43" s="559"/>
      <c r="M43" s="559"/>
      <c r="N43" s="12"/>
    </row>
    <row r="44" spans="1:14" ht="12.75">
      <c r="A44" s="559" t="s">
        <v>991</v>
      </c>
      <c r="B44" s="559"/>
      <c r="C44" s="559"/>
      <c r="D44" s="12"/>
      <c r="G44" s="559" t="s">
        <v>992</v>
      </c>
      <c r="H44" s="559"/>
      <c r="J44" s="235"/>
      <c r="K44" s="559" t="s">
        <v>993</v>
      </c>
      <c r="L44" s="559"/>
      <c r="M44" s="559"/>
      <c r="N44" s="12"/>
    </row>
    <row r="45" spans="1:14" ht="12.75">
      <c r="A45" s="559" t="s">
        <v>994</v>
      </c>
      <c r="B45" s="559"/>
      <c r="C45" s="559"/>
      <c r="D45" s="12"/>
      <c r="G45" s="559" t="s">
        <v>995</v>
      </c>
      <c r="H45" s="559"/>
      <c r="J45" s="235"/>
      <c r="K45" s="559" t="s">
        <v>995</v>
      </c>
      <c r="L45" s="559"/>
      <c r="M45" s="559"/>
      <c r="N45" s="29">
        <v>12209000</v>
      </c>
    </row>
    <row r="46" spans="1:14" ht="12.75">
      <c r="A46" s="238"/>
      <c r="B46" s="239"/>
      <c r="C46" s="239"/>
      <c r="D46" s="239"/>
      <c r="E46" s="235"/>
      <c r="F46" s="235"/>
      <c r="G46" s="239"/>
      <c r="H46" s="239"/>
      <c r="I46" s="239"/>
      <c r="J46" s="239"/>
      <c r="K46" s="239"/>
      <c r="L46" s="239"/>
      <c r="M46" s="239"/>
      <c r="N46" s="12">
        <f>N44-N45</f>
        <v>-12209000</v>
      </c>
    </row>
    <row r="47" spans="1:11" ht="12.75">
      <c r="A47" s="235"/>
      <c r="B47" s="235"/>
      <c r="C47" s="235"/>
      <c r="D47" s="235"/>
      <c r="E47" s="235"/>
      <c r="F47" s="235"/>
      <c r="G47" s="235"/>
      <c r="H47" s="235"/>
      <c r="I47" s="235"/>
      <c r="J47" s="235"/>
      <c r="K47" s="235"/>
    </row>
    <row r="56" spans="5:8" ht="12.75">
      <c r="E56" s="106">
        <f>666.74+835.38+500.71</f>
        <v>2002.83</v>
      </c>
      <c r="F56" s="106">
        <f>666.74+835.38</f>
        <v>1502.12</v>
      </c>
      <c r="G56" s="106">
        <v>122.09</v>
      </c>
      <c r="H56" s="106">
        <f>SUM(F56:G56)</f>
        <v>1624.2099999999998</v>
      </c>
    </row>
    <row r="58" spans="5:6" ht="12.75">
      <c r="E58" s="11">
        <f>74516626+87760414</f>
        <v>162277040</v>
      </c>
      <c r="F58" s="11">
        <f>74516626</f>
        <v>74516626</v>
      </c>
    </row>
    <row r="59" spans="5:6" ht="12.75">
      <c r="E59" s="12"/>
      <c r="F59" s="12">
        <f>66674000+12209000</f>
        <v>78883000</v>
      </c>
    </row>
  </sheetData>
  <sheetProtection/>
  <mergeCells count="28">
    <mergeCell ref="E9:E11"/>
    <mergeCell ref="K9:K11"/>
    <mergeCell ref="A43:C43"/>
    <mergeCell ref="G43:H43"/>
    <mergeCell ref="K43:M43"/>
    <mergeCell ref="A44:C44"/>
    <mergeCell ref="G44:H44"/>
    <mergeCell ref="K44:M44"/>
    <mergeCell ref="A8:B8"/>
    <mergeCell ref="K1:M1"/>
    <mergeCell ref="C9:C11"/>
    <mergeCell ref="J9:J11"/>
    <mergeCell ref="L7:M7"/>
    <mergeCell ref="G8:M8"/>
    <mergeCell ref="A3:M3"/>
    <mergeCell ref="A6:M6"/>
    <mergeCell ref="M9:M11"/>
    <mergeCell ref="A4:M4"/>
    <mergeCell ref="A45:C45"/>
    <mergeCell ref="G45:H45"/>
    <mergeCell ref="K45:M45"/>
    <mergeCell ref="L9:L11"/>
    <mergeCell ref="B9:B11"/>
    <mergeCell ref="A9:A11"/>
    <mergeCell ref="D9:D11"/>
    <mergeCell ref="F9:G10"/>
    <mergeCell ref="H9:I10"/>
    <mergeCell ref="A37:B3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S47"/>
  <sheetViews>
    <sheetView view="pageBreakPreview" zoomScale="70" zoomScaleSheetLayoutView="70" zoomScalePageLayoutView="0" workbookViewId="0" topLeftCell="A1">
      <selection activeCell="G55" sqref="G55"/>
    </sheetView>
  </sheetViews>
  <sheetFormatPr defaultColWidth="9.140625" defaultRowHeight="12.75"/>
  <cols>
    <col min="1" max="1" width="5.57421875" style="12" customWidth="1"/>
    <col min="2" max="2" width="15.421875" style="12" bestFit="1" customWidth="1"/>
    <col min="3" max="3" width="10.57421875" style="12" customWidth="1"/>
    <col min="4" max="4" width="9.8515625" style="12" customWidth="1"/>
    <col min="5" max="5" width="8.7109375" style="12" customWidth="1"/>
    <col min="6" max="6" width="10.8515625" style="12" customWidth="1"/>
    <col min="7" max="7" width="15.8515625" style="12" customWidth="1"/>
    <col min="8" max="8" width="12.421875" style="12" customWidth="1"/>
    <col min="9" max="9" width="12.140625" style="12" customWidth="1"/>
    <col min="10" max="10" width="9.00390625" style="12" customWidth="1"/>
    <col min="11" max="11" width="12.00390625" style="12" customWidth="1"/>
    <col min="12" max="12" width="17.28125" style="12" customWidth="1"/>
    <col min="13" max="13" width="9.140625" style="12" hidden="1" customWidth="1"/>
    <col min="14" max="16384" width="9.140625" style="12" customWidth="1"/>
  </cols>
  <sheetData>
    <row r="1" spans="4:16" ht="15">
      <c r="D1" s="29"/>
      <c r="E1" s="29"/>
      <c r="F1" s="29"/>
      <c r="G1" s="29"/>
      <c r="H1" s="29"/>
      <c r="I1" s="29"/>
      <c r="J1" s="29"/>
      <c r="K1" s="29"/>
      <c r="L1" s="704" t="s">
        <v>435</v>
      </c>
      <c r="M1" s="704"/>
      <c r="N1" s="704"/>
      <c r="O1" s="36"/>
      <c r="P1" s="36"/>
    </row>
    <row r="2" spans="1:16" ht="15">
      <c r="A2" s="684" t="s">
        <v>0</v>
      </c>
      <c r="B2" s="684"/>
      <c r="C2" s="684"/>
      <c r="D2" s="684"/>
      <c r="E2" s="684"/>
      <c r="F2" s="684"/>
      <c r="G2" s="684"/>
      <c r="H2" s="684"/>
      <c r="I2" s="684"/>
      <c r="J2" s="684"/>
      <c r="K2" s="684"/>
      <c r="L2" s="684"/>
      <c r="M2" s="38"/>
      <c r="N2" s="38"/>
      <c r="O2" s="38"/>
      <c r="P2" s="38"/>
    </row>
    <row r="3" spans="1:16" ht="20.25">
      <c r="A3" s="715" t="s">
        <v>645</v>
      </c>
      <c r="B3" s="715"/>
      <c r="C3" s="715"/>
      <c r="D3" s="715"/>
      <c r="E3" s="715"/>
      <c r="F3" s="715"/>
      <c r="G3" s="715"/>
      <c r="H3" s="715"/>
      <c r="I3" s="715"/>
      <c r="J3" s="715"/>
      <c r="K3" s="715"/>
      <c r="L3" s="715"/>
      <c r="M3" s="37"/>
      <c r="N3" s="37"/>
      <c r="O3" s="37"/>
      <c r="P3" s="37"/>
    </row>
    <row r="4" ht="10.5" customHeight="1"/>
    <row r="5" spans="1:12" ht="19.5" customHeight="1">
      <c r="A5" s="691" t="s">
        <v>669</v>
      </c>
      <c r="B5" s="691"/>
      <c r="C5" s="691"/>
      <c r="D5" s="691"/>
      <c r="E5" s="691"/>
      <c r="F5" s="691"/>
      <c r="G5" s="691"/>
      <c r="H5" s="691"/>
      <c r="I5" s="691"/>
      <c r="J5" s="691"/>
      <c r="K5" s="691"/>
      <c r="L5" s="691"/>
    </row>
    <row r="6" spans="1:12" ht="12.75">
      <c r="A6" s="18"/>
      <c r="B6" s="18"/>
      <c r="C6" s="18"/>
      <c r="D6" s="18"/>
      <c r="E6" s="18"/>
      <c r="F6" s="18"/>
      <c r="G6" s="18"/>
      <c r="H6" s="18"/>
      <c r="I6" s="18"/>
      <c r="J6" s="18"/>
      <c r="K6" s="18"/>
      <c r="L6" s="18"/>
    </row>
    <row r="7" spans="1:12" ht="12.75">
      <c r="A7" s="593" t="s">
        <v>956</v>
      </c>
      <c r="B7" s="593"/>
      <c r="F7" s="714" t="s">
        <v>14</v>
      </c>
      <c r="G7" s="714"/>
      <c r="H7" s="714"/>
      <c r="I7" s="714"/>
      <c r="J7" s="714"/>
      <c r="K7" s="714"/>
      <c r="L7" s="714"/>
    </row>
    <row r="8" spans="1:12" ht="12.75">
      <c r="A8" s="11"/>
      <c r="F8" s="13"/>
      <c r="G8" s="79"/>
      <c r="H8" s="79"/>
      <c r="I8" s="689" t="s">
        <v>959</v>
      </c>
      <c r="J8" s="689"/>
      <c r="K8" s="689"/>
      <c r="L8" s="689"/>
    </row>
    <row r="9" spans="1:19" s="241" customFormat="1" ht="12.75">
      <c r="A9" s="571" t="s">
        <v>1</v>
      </c>
      <c r="B9" s="571" t="s">
        <v>2</v>
      </c>
      <c r="C9" s="692" t="s">
        <v>18</v>
      </c>
      <c r="D9" s="693"/>
      <c r="E9" s="693"/>
      <c r="F9" s="693"/>
      <c r="G9" s="693"/>
      <c r="H9" s="692" t="s">
        <v>19</v>
      </c>
      <c r="I9" s="693"/>
      <c r="J9" s="693"/>
      <c r="K9" s="693"/>
      <c r="L9" s="693"/>
      <c r="R9" s="206"/>
      <c r="S9" s="187"/>
    </row>
    <row r="10" spans="1:12" s="241" customFormat="1" ht="63.75">
      <c r="A10" s="571"/>
      <c r="B10" s="571"/>
      <c r="C10" s="206" t="s">
        <v>665</v>
      </c>
      <c r="D10" s="206" t="s">
        <v>667</v>
      </c>
      <c r="E10" s="206" t="s">
        <v>64</v>
      </c>
      <c r="F10" s="206" t="s">
        <v>65</v>
      </c>
      <c r="G10" s="206" t="s">
        <v>367</v>
      </c>
      <c r="H10" s="206" t="s">
        <v>665</v>
      </c>
      <c r="I10" s="206" t="s">
        <v>667</v>
      </c>
      <c r="J10" s="206" t="s">
        <v>64</v>
      </c>
      <c r="K10" s="206" t="s">
        <v>65</v>
      </c>
      <c r="L10" s="206" t="s">
        <v>368</v>
      </c>
    </row>
    <row r="11" spans="1:12" s="241" customFormat="1" ht="12.75">
      <c r="A11" s="206">
        <v>1</v>
      </c>
      <c r="B11" s="206">
        <v>2</v>
      </c>
      <c r="C11" s="206">
        <v>3</v>
      </c>
      <c r="D11" s="206">
        <v>4</v>
      </c>
      <c r="E11" s="206">
        <v>5</v>
      </c>
      <c r="F11" s="206">
        <v>6</v>
      </c>
      <c r="G11" s="206">
        <v>7</v>
      </c>
      <c r="H11" s="206">
        <v>8</v>
      </c>
      <c r="I11" s="206">
        <v>9</v>
      </c>
      <c r="J11" s="206">
        <v>10</v>
      </c>
      <c r="K11" s="206">
        <v>11</v>
      </c>
      <c r="L11" s="206">
        <v>12</v>
      </c>
    </row>
    <row r="12" spans="1:12" ht="12.75">
      <c r="A12" s="14">
        <v>1</v>
      </c>
      <c r="B12" s="224" t="s">
        <v>831</v>
      </c>
      <c r="C12" s="726" t="s">
        <v>857</v>
      </c>
      <c r="D12" s="727"/>
      <c r="E12" s="727"/>
      <c r="F12" s="727"/>
      <c r="G12" s="727"/>
      <c r="H12" s="727"/>
      <c r="I12" s="727"/>
      <c r="J12" s="727"/>
      <c r="K12" s="727"/>
      <c r="L12" s="728"/>
    </row>
    <row r="13" spans="1:12" ht="12.75">
      <c r="A13" s="14">
        <v>2</v>
      </c>
      <c r="B13" s="224" t="s">
        <v>832</v>
      </c>
      <c r="C13" s="729"/>
      <c r="D13" s="730"/>
      <c r="E13" s="730"/>
      <c r="F13" s="730"/>
      <c r="G13" s="730"/>
      <c r="H13" s="730"/>
      <c r="I13" s="730"/>
      <c r="J13" s="730"/>
      <c r="K13" s="730"/>
      <c r="L13" s="731"/>
    </row>
    <row r="14" spans="1:12" ht="12.75">
      <c r="A14" s="14">
        <v>3</v>
      </c>
      <c r="B14" s="224" t="s">
        <v>833</v>
      </c>
      <c r="C14" s="729"/>
      <c r="D14" s="730"/>
      <c r="E14" s="730"/>
      <c r="F14" s="730"/>
      <c r="G14" s="730"/>
      <c r="H14" s="730"/>
      <c r="I14" s="730"/>
      <c r="J14" s="730"/>
      <c r="K14" s="730"/>
      <c r="L14" s="731"/>
    </row>
    <row r="15" spans="1:12" ht="12.75">
      <c r="A15" s="14">
        <v>4</v>
      </c>
      <c r="B15" s="224" t="s">
        <v>834</v>
      </c>
      <c r="C15" s="729"/>
      <c r="D15" s="730"/>
      <c r="E15" s="730"/>
      <c r="F15" s="730"/>
      <c r="G15" s="730"/>
      <c r="H15" s="730"/>
      <c r="I15" s="730"/>
      <c r="J15" s="730"/>
      <c r="K15" s="730"/>
      <c r="L15" s="731"/>
    </row>
    <row r="16" spans="1:12" ht="12.75">
      <c r="A16" s="14">
        <v>5</v>
      </c>
      <c r="B16" s="224" t="s">
        <v>835</v>
      </c>
      <c r="C16" s="729"/>
      <c r="D16" s="730"/>
      <c r="E16" s="730"/>
      <c r="F16" s="730"/>
      <c r="G16" s="730"/>
      <c r="H16" s="730"/>
      <c r="I16" s="730"/>
      <c r="J16" s="730"/>
      <c r="K16" s="730"/>
      <c r="L16" s="731"/>
    </row>
    <row r="17" spans="1:12" ht="12.75">
      <c r="A17" s="14">
        <v>6</v>
      </c>
      <c r="B17" s="224" t="s">
        <v>836</v>
      </c>
      <c r="C17" s="729"/>
      <c r="D17" s="730"/>
      <c r="E17" s="730"/>
      <c r="F17" s="730"/>
      <c r="G17" s="730"/>
      <c r="H17" s="730"/>
      <c r="I17" s="730"/>
      <c r="J17" s="730"/>
      <c r="K17" s="730"/>
      <c r="L17" s="731"/>
    </row>
    <row r="18" spans="1:12" ht="12.75">
      <c r="A18" s="14">
        <v>7</v>
      </c>
      <c r="B18" s="224" t="s">
        <v>837</v>
      </c>
      <c r="C18" s="729"/>
      <c r="D18" s="730"/>
      <c r="E18" s="730"/>
      <c r="F18" s="730"/>
      <c r="G18" s="730"/>
      <c r="H18" s="730"/>
      <c r="I18" s="730"/>
      <c r="J18" s="730"/>
      <c r="K18" s="730"/>
      <c r="L18" s="731"/>
    </row>
    <row r="19" spans="1:12" ht="12.75">
      <c r="A19" s="14">
        <v>8</v>
      </c>
      <c r="B19" s="224" t="s">
        <v>838</v>
      </c>
      <c r="C19" s="729"/>
      <c r="D19" s="730"/>
      <c r="E19" s="730"/>
      <c r="F19" s="730"/>
      <c r="G19" s="730"/>
      <c r="H19" s="730"/>
      <c r="I19" s="730"/>
      <c r="J19" s="730"/>
      <c r="K19" s="730"/>
      <c r="L19" s="731"/>
    </row>
    <row r="20" spans="1:12" ht="12.75">
      <c r="A20" s="14">
        <v>9</v>
      </c>
      <c r="B20" s="224" t="s">
        <v>839</v>
      </c>
      <c r="C20" s="729"/>
      <c r="D20" s="730"/>
      <c r="E20" s="730"/>
      <c r="F20" s="730"/>
      <c r="G20" s="730"/>
      <c r="H20" s="730"/>
      <c r="I20" s="730"/>
      <c r="J20" s="730"/>
      <c r="K20" s="730"/>
      <c r="L20" s="731"/>
    </row>
    <row r="21" spans="1:12" ht="12.75">
      <c r="A21" s="14">
        <v>10</v>
      </c>
      <c r="B21" s="224" t="s">
        <v>840</v>
      </c>
      <c r="C21" s="729"/>
      <c r="D21" s="730"/>
      <c r="E21" s="730"/>
      <c r="F21" s="730"/>
      <c r="G21" s="730"/>
      <c r="H21" s="730"/>
      <c r="I21" s="730"/>
      <c r="J21" s="730"/>
      <c r="K21" s="730"/>
      <c r="L21" s="731"/>
    </row>
    <row r="22" spans="1:12" ht="12.75">
      <c r="A22" s="14">
        <v>11</v>
      </c>
      <c r="B22" s="224" t="s">
        <v>841</v>
      </c>
      <c r="C22" s="729"/>
      <c r="D22" s="730"/>
      <c r="E22" s="730"/>
      <c r="F22" s="730"/>
      <c r="G22" s="730"/>
      <c r="H22" s="730"/>
      <c r="I22" s="730"/>
      <c r="J22" s="730"/>
      <c r="K22" s="730"/>
      <c r="L22" s="731"/>
    </row>
    <row r="23" spans="1:12" ht="12.75">
      <c r="A23" s="14">
        <v>12</v>
      </c>
      <c r="B23" s="224" t="s">
        <v>842</v>
      </c>
      <c r="C23" s="729"/>
      <c r="D23" s="730"/>
      <c r="E23" s="730"/>
      <c r="F23" s="730"/>
      <c r="G23" s="730"/>
      <c r="H23" s="730"/>
      <c r="I23" s="730"/>
      <c r="J23" s="730"/>
      <c r="K23" s="730"/>
      <c r="L23" s="731"/>
    </row>
    <row r="24" spans="1:12" ht="12.75">
      <c r="A24" s="14">
        <v>13</v>
      </c>
      <c r="B24" s="224" t="s">
        <v>843</v>
      </c>
      <c r="C24" s="729"/>
      <c r="D24" s="730"/>
      <c r="E24" s="730"/>
      <c r="F24" s="730"/>
      <c r="G24" s="730"/>
      <c r="H24" s="730"/>
      <c r="I24" s="730"/>
      <c r="J24" s="730"/>
      <c r="K24" s="730"/>
      <c r="L24" s="731"/>
    </row>
    <row r="25" spans="1:12" ht="12.75">
      <c r="A25" s="14">
        <v>14</v>
      </c>
      <c r="B25" s="224" t="s">
        <v>844</v>
      </c>
      <c r="C25" s="729"/>
      <c r="D25" s="730"/>
      <c r="E25" s="730"/>
      <c r="F25" s="730"/>
      <c r="G25" s="730"/>
      <c r="H25" s="730"/>
      <c r="I25" s="730"/>
      <c r="J25" s="730"/>
      <c r="K25" s="730"/>
      <c r="L25" s="731"/>
    </row>
    <row r="26" spans="1:12" ht="12.75">
      <c r="A26" s="14">
        <v>15</v>
      </c>
      <c r="B26" s="224" t="s">
        <v>845</v>
      </c>
      <c r="C26" s="729"/>
      <c r="D26" s="730"/>
      <c r="E26" s="730"/>
      <c r="F26" s="730"/>
      <c r="G26" s="730"/>
      <c r="H26" s="730"/>
      <c r="I26" s="730"/>
      <c r="J26" s="730"/>
      <c r="K26" s="730"/>
      <c r="L26" s="731"/>
    </row>
    <row r="27" spans="1:12" ht="12.75">
      <c r="A27" s="14">
        <v>16</v>
      </c>
      <c r="B27" s="224" t="s">
        <v>846</v>
      </c>
      <c r="C27" s="729"/>
      <c r="D27" s="730"/>
      <c r="E27" s="730"/>
      <c r="F27" s="730"/>
      <c r="G27" s="730"/>
      <c r="H27" s="730"/>
      <c r="I27" s="730"/>
      <c r="J27" s="730"/>
      <c r="K27" s="730"/>
      <c r="L27" s="731"/>
    </row>
    <row r="28" spans="1:12" ht="12.75">
      <c r="A28" s="14">
        <v>17</v>
      </c>
      <c r="B28" s="224" t="s">
        <v>847</v>
      </c>
      <c r="C28" s="729"/>
      <c r="D28" s="730"/>
      <c r="E28" s="730"/>
      <c r="F28" s="730"/>
      <c r="G28" s="730"/>
      <c r="H28" s="730"/>
      <c r="I28" s="730"/>
      <c r="J28" s="730"/>
      <c r="K28" s="730"/>
      <c r="L28" s="731"/>
    </row>
    <row r="29" spans="1:12" ht="12.75">
      <c r="A29" s="14">
        <v>18</v>
      </c>
      <c r="B29" s="224" t="s">
        <v>848</v>
      </c>
      <c r="C29" s="729"/>
      <c r="D29" s="730"/>
      <c r="E29" s="730"/>
      <c r="F29" s="730"/>
      <c r="G29" s="730"/>
      <c r="H29" s="730"/>
      <c r="I29" s="730"/>
      <c r="J29" s="730"/>
      <c r="K29" s="730"/>
      <c r="L29" s="731"/>
    </row>
    <row r="30" spans="1:12" ht="12.75">
      <c r="A30" s="14">
        <v>19</v>
      </c>
      <c r="B30" s="224" t="s">
        <v>849</v>
      </c>
      <c r="C30" s="729"/>
      <c r="D30" s="730"/>
      <c r="E30" s="730"/>
      <c r="F30" s="730"/>
      <c r="G30" s="730"/>
      <c r="H30" s="730"/>
      <c r="I30" s="730"/>
      <c r="J30" s="730"/>
      <c r="K30" s="730"/>
      <c r="L30" s="731"/>
    </row>
    <row r="31" spans="1:12" ht="12.75">
      <c r="A31" s="14">
        <v>20</v>
      </c>
      <c r="B31" s="224" t="s">
        <v>850</v>
      </c>
      <c r="C31" s="729"/>
      <c r="D31" s="730"/>
      <c r="E31" s="730"/>
      <c r="F31" s="730"/>
      <c r="G31" s="730"/>
      <c r="H31" s="730"/>
      <c r="I31" s="730"/>
      <c r="J31" s="730"/>
      <c r="K31" s="730"/>
      <c r="L31" s="731"/>
    </row>
    <row r="32" spans="1:12" ht="12.75">
      <c r="A32" s="14">
        <v>21</v>
      </c>
      <c r="B32" s="224" t="s">
        <v>851</v>
      </c>
      <c r="C32" s="729"/>
      <c r="D32" s="730"/>
      <c r="E32" s="730"/>
      <c r="F32" s="730"/>
      <c r="G32" s="730"/>
      <c r="H32" s="730"/>
      <c r="I32" s="730"/>
      <c r="J32" s="730"/>
      <c r="K32" s="730"/>
      <c r="L32" s="731"/>
    </row>
    <row r="33" spans="1:12" ht="12.75">
      <c r="A33" s="14">
        <v>22</v>
      </c>
      <c r="B33" s="224" t="s">
        <v>852</v>
      </c>
      <c r="C33" s="729"/>
      <c r="D33" s="730"/>
      <c r="E33" s="730"/>
      <c r="F33" s="730"/>
      <c r="G33" s="730"/>
      <c r="H33" s="730"/>
      <c r="I33" s="730"/>
      <c r="J33" s="730"/>
      <c r="K33" s="730"/>
      <c r="L33" s="731"/>
    </row>
    <row r="34" spans="1:12" ht="12.75">
      <c r="A34" s="14">
        <v>23</v>
      </c>
      <c r="B34" s="224" t="s">
        <v>853</v>
      </c>
      <c r="C34" s="729"/>
      <c r="D34" s="730"/>
      <c r="E34" s="730"/>
      <c r="F34" s="730"/>
      <c r="G34" s="730"/>
      <c r="H34" s="730"/>
      <c r="I34" s="730"/>
      <c r="J34" s="730"/>
      <c r="K34" s="730"/>
      <c r="L34" s="731"/>
    </row>
    <row r="35" spans="1:12" ht="12.75">
      <c r="A35" s="14">
        <v>24</v>
      </c>
      <c r="B35" s="224" t="s">
        <v>854</v>
      </c>
      <c r="C35" s="729"/>
      <c r="D35" s="730"/>
      <c r="E35" s="730"/>
      <c r="F35" s="730"/>
      <c r="G35" s="730"/>
      <c r="H35" s="730"/>
      <c r="I35" s="730"/>
      <c r="J35" s="730"/>
      <c r="K35" s="730"/>
      <c r="L35" s="731"/>
    </row>
    <row r="36" spans="1:12" ht="12.75">
      <c r="A36" s="560" t="s">
        <v>13</v>
      </c>
      <c r="B36" s="561"/>
      <c r="C36" s="732"/>
      <c r="D36" s="733"/>
      <c r="E36" s="733"/>
      <c r="F36" s="733"/>
      <c r="G36" s="733"/>
      <c r="H36" s="733"/>
      <c r="I36" s="733"/>
      <c r="J36" s="733"/>
      <c r="K36" s="733"/>
      <c r="L36" s="734"/>
    </row>
    <row r="37" spans="1:12" ht="12.75">
      <c r="A37" s="17" t="s">
        <v>366</v>
      </c>
      <c r="B37" s="17"/>
      <c r="C37" s="17"/>
      <c r="D37" s="17"/>
      <c r="E37" s="17"/>
      <c r="F37" s="17"/>
      <c r="G37" s="17"/>
      <c r="H37" s="17"/>
      <c r="I37" s="17"/>
      <c r="J37" s="17"/>
      <c r="K37" s="17"/>
      <c r="L37" s="17"/>
    </row>
    <row r="38" spans="1:12" ht="12.75">
      <c r="A38" s="16" t="s">
        <v>365</v>
      </c>
      <c r="B38" s="17"/>
      <c r="C38" s="17"/>
      <c r="D38" s="17"/>
      <c r="E38" s="17"/>
      <c r="F38" s="17"/>
      <c r="G38" s="17"/>
      <c r="H38" s="17"/>
      <c r="I38" s="17"/>
      <c r="J38" s="17"/>
      <c r="K38" s="17"/>
      <c r="L38" s="17"/>
    </row>
    <row r="39" spans="1:12" ht="12.75">
      <c r="A39" s="11"/>
      <c r="B39" s="11"/>
      <c r="C39" s="11"/>
      <c r="D39" s="11"/>
      <c r="E39" s="11"/>
      <c r="F39" s="11"/>
      <c r="G39" s="11"/>
      <c r="H39" s="11"/>
      <c r="I39" s="11"/>
      <c r="J39" s="11"/>
      <c r="K39" s="11"/>
      <c r="L39" s="11"/>
    </row>
    <row r="40" spans="1:12" ht="12.75">
      <c r="A40" s="11"/>
      <c r="B40" s="11"/>
      <c r="C40" s="11"/>
      <c r="D40" s="11"/>
      <c r="E40" s="11"/>
      <c r="F40" s="11"/>
      <c r="G40" s="11"/>
      <c r="H40" s="11"/>
      <c r="I40" s="11"/>
      <c r="J40" s="11"/>
      <c r="K40" s="11"/>
      <c r="L40" s="11"/>
    </row>
    <row r="41" spans="1:12" ht="12.75">
      <c r="A41" s="11"/>
      <c r="B41" s="11"/>
      <c r="C41" s="11"/>
      <c r="D41" s="11"/>
      <c r="E41" s="11"/>
      <c r="F41" s="11"/>
      <c r="G41" s="11"/>
      <c r="H41" s="11"/>
      <c r="I41" s="11"/>
      <c r="J41" s="11"/>
      <c r="K41" s="11"/>
      <c r="L41" s="11"/>
    </row>
    <row r="42" spans="1:12" ht="12.75">
      <c r="A42" s="68"/>
      <c r="B42" s="68"/>
      <c r="C42" s="68"/>
      <c r="D42" s="68"/>
      <c r="E42" s="68"/>
      <c r="F42" s="68"/>
      <c r="G42" s="68"/>
      <c r="H42" s="68"/>
      <c r="I42" s="68"/>
      <c r="J42" s="68"/>
      <c r="K42" s="68"/>
      <c r="L42" s="68"/>
    </row>
    <row r="43" spans="1:12" ht="12.75" customHeight="1">
      <c r="A43" s="559" t="s">
        <v>989</v>
      </c>
      <c r="B43" s="559"/>
      <c r="C43" s="559"/>
      <c r="F43" s="559" t="s">
        <v>990</v>
      </c>
      <c r="G43" s="559"/>
      <c r="I43" s="359"/>
      <c r="J43" s="559" t="s">
        <v>996</v>
      </c>
      <c r="K43" s="559"/>
      <c r="L43" s="559"/>
    </row>
    <row r="44" spans="1:12" ht="12.75" customHeight="1">
      <c r="A44" s="559" t="s">
        <v>991</v>
      </c>
      <c r="B44" s="559"/>
      <c r="C44" s="559"/>
      <c r="F44" s="559" t="s">
        <v>992</v>
      </c>
      <c r="G44" s="559"/>
      <c r="I44" s="359"/>
      <c r="J44" s="559" t="s">
        <v>993</v>
      </c>
      <c r="K44" s="559"/>
      <c r="L44" s="559"/>
    </row>
    <row r="45" spans="1:13" ht="12.75" customHeight="1">
      <c r="A45" s="559" t="s">
        <v>994</v>
      </c>
      <c r="B45" s="559"/>
      <c r="C45" s="559"/>
      <c r="F45" s="559" t="s">
        <v>995</v>
      </c>
      <c r="G45" s="559"/>
      <c r="I45" s="359"/>
      <c r="J45" s="559" t="s">
        <v>995</v>
      </c>
      <c r="K45" s="559"/>
      <c r="L45" s="559"/>
      <c r="M45" s="29"/>
    </row>
    <row r="46" ht="12.75">
      <c r="A46" s="11"/>
    </row>
    <row r="47" spans="1:12" ht="12.75">
      <c r="A47" s="687"/>
      <c r="B47" s="687"/>
      <c r="C47" s="687"/>
      <c r="D47" s="687"/>
      <c r="E47" s="687"/>
      <c r="F47" s="687"/>
      <c r="G47" s="687"/>
      <c r="H47" s="687"/>
      <c r="I47" s="687"/>
      <c r="J47" s="687"/>
      <c r="K47" s="687"/>
      <c r="L47" s="687"/>
    </row>
  </sheetData>
  <sheetProtection/>
  <mergeCells count="23">
    <mergeCell ref="J43:L43"/>
    <mergeCell ref="J44:L44"/>
    <mergeCell ref="J45:L45"/>
    <mergeCell ref="F43:G43"/>
    <mergeCell ref="F44:G44"/>
    <mergeCell ref="F45:G45"/>
    <mergeCell ref="C12:L36"/>
    <mergeCell ref="L1:N1"/>
    <mergeCell ref="A2:L2"/>
    <mergeCell ref="A3:L3"/>
    <mergeCell ref="A5:L5"/>
    <mergeCell ref="A7:B7"/>
    <mergeCell ref="F7:L7"/>
    <mergeCell ref="A45:C45"/>
    <mergeCell ref="A47:L47"/>
    <mergeCell ref="A44:C44"/>
    <mergeCell ref="I8:L8"/>
    <mergeCell ref="A9:A10"/>
    <mergeCell ref="B9:B10"/>
    <mergeCell ref="C9:G9"/>
    <mergeCell ref="H9:L9"/>
    <mergeCell ref="A43:C43"/>
    <mergeCell ref="A36:B3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rowBreaks count="1" manualBreakCount="1">
    <brk id="46" max="255" man="1"/>
  </rowBreaks>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Y46"/>
  <sheetViews>
    <sheetView view="pageBreakPreview" zoomScale="70" zoomScaleSheetLayoutView="70" zoomScalePageLayoutView="0" workbookViewId="0" topLeftCell="A1">
      <selection activeCell="P37" sqref="P37"/>
    </sheetView>
  </sheetViews>
  <sheetFormatPr defaultColWidth="9.140625" defaultRowHeight="12.75"/>
  <cols>
    <col min="1" max="1" width="7.421875" style="12" customWidth="1"/>
    <col min="2" max="2" width="15.421875" style="12" customWidth="1"/>
    <col min="3" max="5" width="10.00390625" style="12" customWidth="1"/>
    <col min="6" max="7" width="10.28125" style="12" customWidth="1"/>
    <col min="8" max="8" width="10.7109375" style="12" customWidth="1"/>
    <col min="9" max="14" width="10.28125" style="12" customWidth="1"/>
    <col min="15" max="15" width="12.28125" style="12" customWidth="1"/>
    <col min="16" max="16" width="11.28125" style="12" customWidth="1"/>
    <col min="17" max="17" width="11.7109375" style="12" customWidth="1"/>
    <col min="18" max="19" width="12.7109375" style="12" bestFit="1" customWidth="1"/>
    <col min="20" max="21" width="9.140625" style="12" customWidth="1"/>
    <col min="22" max="23" width="12.7109375" style="12" bestFit="1" customWidth="1"/>
    <col min="24" max="16384" width="9.140625" style="12" customWidth="1"/>
  </cols>
  <sheetData>
    <row r="1" spans="8:21" ht="15">
      <c r="H1" s="29"/>
      <c r="I1" s="29"/>
      <c r="J1" s="29"/>
      <c r="K1" s="29"/>
      <c r="L1" s="29"/>
      <c r="M1" s="29"/>
      <c r="N1" s="29"/>
      <c r="O1" s="29"/>
      <c r="P1" s="681" t="s">
        <v>58</v>
      </c>
      <c r="Q1" s="681"/>
      <c r="T1" s="36"/>
      <c r="U1" s="36"/>
    </row>
    <row r="2" spans="1:21" ht="15">
      <c r="A2" s="684" t="s">
        <v>0</v>
      </c>
      <c r="B2" s="684"/>
      <c r="C2" s="684"/>
      <c r="D2" s="684"/>
      <c r="E2" s="684"/>
      <c r="F2" s="684"/>
      <c r="G2" s="684"/>
      <c r="H2" s="684"/>
      <c r="I2" s="684"/>
      <c r="J2" s="684"/>
      <c r="K2" s="684"/>
      <c r="L2" s="684"/>
      <c r="M2" s="684"/>
      <c r="N2" s="684"/>
      <c r="O2" s="684"/>
      <c r="P2" s="684"/>
      <c r="Q2" s="684"/>
      <c r="R2" s="38"/>
      <c r="S2" s="38"/>
      <c r="T2" s="38"/>
      <c r="U2" s="38"/>
    </row>
    <row r="3" spans="1:21" ht="20.25">
      <c r="A3" s="591" t="s">
        <v>645</v>
      </c>
      <c r="B3" s="591"/>
      <c r="C3" s="591"/>
      <c r="D3" s="591"/>
      <c r="E3" s="591"/>
      <c r="F3" s="591"/>
      <c r="G3" s="591"/>
      <c r="H3" s="591"/>
      <c r="I3" s="591"/>
      <c r="J3" s="591"/>
      <c r="K3" s="591"/>
      <c r="L3" s="591"/>
      <c r="M3" s="591"/>
      <c r="N3" s="591"/>
      <c r="O3" s="591"/>
      <c r="P3" s="591"/>
      <c r="Q3" s="591"/>
      <c r="R3" s="37"/>
      <c r="S3" s="37"/>
      <c r="T3" s="37"/>
      <c r="U3" s="37"/>
    </row>
    <row r="4" ht="10.5" customHeight="1"/>
    <row r="5" spans="1:17" ht="12.75">
      <c r="A5" s="20"/>
      <c r="B5" s="20"/>
      <c r="C5" s="20"/>
      <c r="D5" s="20"/>
      <c r="E5" s="19"/>
      <c r="F5" s="19"/>
      <c r="G5" s="19"/>
      <c r="H5" s="19"/>
      <c r="I5" s="19"/>
      <c r="J5" s="19"/>
      <c r="K5" s="19"/>
      <c r="L5" s="19"/>
      <c r="M5" s="19"/>
      <c r="N5" s="20"/>
      <c r="O5" s="20"/>
      <c r="P5" s="19"/>
      <c r="Q5" s="17"/>
    </row>
    <row r="6" spans="1:17" ht="18" customHeight="1">
      <c r="A6" s="691" t="s">
        <v>753</v>
      </c>
      <c r="B6" s="691"/>
      <c r="C6" s="691"/>
      <c r="D6" s="691"/>
      <c r="E6" s="691"/>
      <c r="F6" s="691"/>
      <c r="G6" s="691"/>
      <c r="H6" s="691"/>
      <c r="I6" s="691"/>
      <c r="J6" s="691"/>
      <c r="K6" s="691"/>
      <c r="L6" s="691"/>
      <c r="M6" s="691"/>
      <c r="N6" s="691"/>
      <c r="O6" s="691"/>
      <c r="P6" s="691"/>
      <c r="Q6" s="691"/>
    </row>
    <row r="8" spans="1:19" ht="12.75">
      <c r="A8" s="593" t="s">
        <v>956</v>
      </c>
      <c r="B8" s="593"/>
      <c r="Q8" s="26" t="s">
        <v>16</v>
      </c>
      <c r="R8" s="17"/>
      <c r="S8" s="17"/>
    </row>
    <row r="9" spans="1:17" ht="15.75">
      <c r="A9" s="10"/>
      <c r="N9" s="689" t="s">
        <v>959</v>
      </c>
      <c r="O9" s="689"/>
      <c r="P9" s="689"/>
      <c r="Q9" s="689"/>
    </row>
    <row r="10" spans="1:17" ht="28.5" customHeight="1">
      <c r="A10" s="685" t="s">
        <v>1</v>
      </c>
      <c r="B10" s="685" t="s">
        <v>2</v>
      </c>
      <c r="C10" s="573" t="s">
        <v>670</v>
      </c>
      <c r="D10" s="573"/>
      <c r="E10" s="573"/>
      <c r="F10" s="573" t="s">
        <v>671</v>
      </c>
      <c r="G10" s="573"/>
      <c r="H10" s="573"/>
      <c r="I10" s="735" t="s">
        <v>370</v>
      </c>
      <c r="J10" s="736"/>
      <c r="K10" s="737"/>
      <c r="L10" s="573" t="s">
        <v>85</v>
      </c>
      <c r="M10" s="573"/>
      <c r="N10" s="573"/>
      <c r="O10" s="738" t="s">
        <v>1013</v>
      </c>
      <c r="P10" s="738"/>
      <c r="Q10" s="738"/>
    </row>
    <row r="11" spans="1:17" ht="39.75" customHeight="1">
      <c r="A11" s="686"/>
      <c r="B11" s="686"/>
      <c r="C11" s="5" t="s">
        <v>107</v>
      </c>
      <c r="D11" s="5" t="s">
        <v>749</v>
      </c>
      <c r="E11" s="32" t="s">
        <v>13</v>
      </c>
      <c r="F11" s="5" t="s">
        <v>107</v>
      </c>
      <c r="G11" s="5" t="s">
        <v>750</v>
      </c>
      <c r="H11" s="32" t="s">
        <v>13</v>
      </c>
      <c r="I11" s="5" t="s">
        <v>107</v>
      </c>
      <c r="J11" s="5" t="s">
        <v>750</v>
      </c>
      <c r="K11" s="32" t="s">
        <v>13</v>
      </c>
      <c r="L11" s="5" t="s">
        <v>107</v>
      </c>
      <c r="M11" s="5" t="s">
        <v>750</v>
      </c>
      <c r="N11" s="32" t="s">
        <v>13</v>
      </c>
      <c r="O11" s="5" t="s">
        <v>233</v>
      </c>
      <c r="P11" s="5" t="s">
        <v>751</v>
      </c>
      <c r="Q11" s="5" t="s">
        <v>108</v>
      </c>
    </row>
    <row r="12" spans="1:17" s="61" customFormat="1" ht="12.75">
      <c r="A12" s="59">
        <v>1</v>
      </c>
      <c r="B12" s="59">
        <v>2</v>
      </c>
      <c r="C12" s="59">
        <v>3</v>
      </c>
      <c r="D12" s="59">
        <v>4</v>
      </c>
      <c r="E12" s="59">
        <v>5</v>
      </c>
      <c r="F12" s="59">
        <v>6</v>
      </c>
      <c r="G12" s="59">
        <v>7</v>
      </c>
      <c r="H12" s="59">
        <v>8</v>
      </c>
      <c r="I12" s="59">
        <v>9</v>
      </c>
      <c r="J12" s="59">
        <v>10</v>
      </c>
      <c r="K12" s="59">
        <v>11</v>
      </c>
      <c r="L12" s="59">
        <v>12</v>
      </c>
      <c r="M12" s="59">
        <v>13</v>
      </c>
      <c r="N12" s="59">
        <v>14</v>
      </c>
      <c r="O12" s="59">
        <v>15</v>
      </c>
      <c r="P12" s="59">
        <v>16</v>
      </c>
      <c r="Q12" s="59">
        <v>17</v>
      </c>
    </row>
    <row r="13" spans="1:25" ht="12.75">
      <c r="A13" s="14">
        <v>1</v>
      </c>
      <c r="B13" s="224" t="s">
        <v>831</v>
      </c>
      <c r="C13" s="337">
        <v>842.5557951999999</v>
      </c>
      <c r="D13" s="337">
        <v>560.5713959999999</v>
      </c>
      <c r="E13" s="337">
        <f>SUM(C13:D13)</f>
        <v>1403.1271911999997</v>
      </c>
      <c r="F13" s="339">
        <v>-17.89766356000007</v>
      </c>
      <c r="G13" s="337">
        <v>866.8129576086956</v>
      </c>
      <c r="H13" s="337">
        <f aca="true" t="shared" si="0" ref="H13:H36">SUM(F13:G13)</f>
        <v>848.9152940486955</v>
      </c>
      <c r="I13" s="339">
        <v>842.546</v>
      </c>
      <c r="J13" s="337">
        <v>560.5714</v>
      </c>
      <c r="K13" s="337">
        <f aca="true" t="shared" si="1" ref="K13:K36">SUM(I13:J13)</f>
        <v>1403.1174</v>
      </c>
      <c r="L13" s="337">
        <v>790.1537493999999</v>
      </c>
      <c r="M13" s="337">
        <v>526.776463316</v>
      </c>
      <c r="N13" s="337">
        <f>SUM(L13:M13)</f>
        <v>1316.930212716</v>
      </c>
      <c r="O13" s="337">
        <f>F13+I13-L13</f>
        <v>34.494587040000056</v>
      </c>
      <c r="P13" s="337">
        <f>G13+J13-M13</f>
        <v>900.6078942926956</v>
      </c>
      <c r="Q13" s="337">
        <f>H13+K13-N13</f>
        <v>935.1024813326958</v>
      </c>
      <c r="R13" s="259">
        <v>50307914</v>
      </c>
      <c r="S13" s="259">
        <v>33942816</v>
      </c>
      <c r="T13" s="12">
        <f>R13/100000</f>
        <v>503.07914</v>
      </c>
      <c r="U13" s="12">
        <f>S13/100000</f>
        <v>339.42816</v>
      </c>
      <c r="V13" s="259">
        <v>67584800</v>
      </c>
      <c r="W13" s="259">
        <v>45536000</v>
      </c>
      <c r="X13" s="12">
        <f>V13/100000</f>
        <v>675.848</v>
      </c>
      <c r="Y13" s="12">
        <f>W13/100000</f>
        <v>455.36</v>
      </c>
    </row>
    <row r="14" spans="1:25" ht="12.75">
      <c r="A14" s="14">
        <v>2</v>
      </c>
      <c r="B14" s="224" t="s">
        <v>832</v>
      </c>
      <c r="C14" s="337">
        <v>287.9543349894737</v>
      </c>
      <c r="D14" s="337">
        <v>191.5825212631579</v>
      </c>
      <c r="E14" s="337">
        <f aca="true" t="shared" si="2" ref="E14:E36">SUM(C14:D14)</f>
        <v>479.5368562526316</v>
      </c>
      <c r="F14" s="339">
        <v>-9.872892999999976</v>
      </c>
      <c r="G14" s="337">
        <v>281.4700532608696</v>
      </c>
      <c r="H14" s="337">
        <f t="shared" si="0"/>
        <v>271.5971602608696</v>
      </c>
      <c r="I14" s="339">
        <v>287.954</v>
      </c>
      <c r="J14" s="337">
        <v>191.58319</v>
      </c>
      <c r="K14" s="337">
        <f t="shared" si="1"/>
        <v>479.53719</v>
      </c>
      <c r="L14" s="337">
        <v>287.527</v>
      </c>
      <c r="M14" s="337">
        <v>191.57500000000002</v>
      </c>
      <c r="N14" s="337">
        <f aca="true" t="shared" si="3" ref="N14:N36">SUM(L14:M14)</f>
        <v>479.102</v>
      </c>
      <c r="O14" s="337">
        <f aca="true" t="shared" si="4" ref="O14:O36">F14+I14-L14</f>
        <v>-9.445892999999955</v>
      </c>
      <c r="P14" s="337">
        <f aca="true" t="shared" si="5" ref="P14:P36">G14+J14-M14</f>
        <v>281.4782432608696</v>
      </c>
      <c r="Q14" s="337">
        <f aca="true" t="shared" si="6" ref="Q14:Q36">H14+K14-N14</f>
        <v>272.03235026086963</v>
      </c>
      <c r="R14" s="259">
        <v>17199079</v>
      </c>
      <c r="S14" s="259">
        <v>10602470</v>
      </c>
      <c r="T14" s="12">
        <f aca="true" t="shared" si="7" ref="T14:T36">R14/100000</f>
        <v>171.99079</v>
      </c>
      <c r="U14" s="12">
        <f aca="true" t="shared" si="8" ref="U14:U36">S14/100000</f>
        <v>106.0247</v>
      </c>
      <c r="V14" s="259">
        <v>23115700</v>
      </c>
      <c r="W14" s="259">
        <v>14168300</v>
      </c>
      <c r="X14" s="12">
        <f aca="true" t="shared" si="9" ref="X14:X36">V14/100000</f>
        <v>231.157</v>
      </c>
      <c r="Y14" s="12">
        <f aca="true" t="shared" si="10" ref="Y14:Y36">W14/100000</f>
        <v>141.683</v>
      </c>
    </row>
    <row r="15" spans="1:25" ht="12.75">
      <c r="A15" s="14">
        <v>3</v>
      </c>
      <c r="B15" s="224" t="s">
        <v>833</v>
      </c>
      <c r="C15" s="337">
        <v>208.13865095384614</v>
      </c>
      <c r="D15" s="337">
        <v>138.47934438461536</v>
      </c>
      <c r="E15" s="337">
        <f t="shared" si="2"/>
        <v>346.61799533846147</v>
      </c>
      <c r="F15" s="339">
        <v>-7.7817819200000145</v>
      </c>
      <c r="G15" s="337">
        <v>237.19468972972973</v>
      </c>
      <c r="H15" s="337">
        <f t="shared" si="0"/>
        <v>229.41290780972972</v>
      </c>
      <c r="I15" s="339">
        <v>208.139</v>
      </c>
      <c r="J15" s="337">
        <v>138.47902</v>
      </c>
      <c r="K15" s="337">
        <f t="shared" si="1"/>
        <v>346.61802</v>
      </c>
      <c r="L15" s="337">
        <v>213.062</v>
      </c>
      <c r="M15" s="337">
        <v>141.756</v>
      </c>
      <c r="N15" s="337">
        <f t="shared" si="3"/>
        <v>354.818</v>
      </c>
      <c r="O15" s="337">
        <f t="shared" si="4"/>
        <v>-12.704781920000016</v>
      </c>
      <c r="P15" s="337">
        <f t="shared" si="5"/>
        <v>233.9177097297297</v>
      </c>
      <c r="Q15" s="337">
        <f t="shared" si="6"/>
        <v>221.21292780972976</v>
      </c>
      <c r="R15" s="259">
        <v>12480026</v>
      </c>
      <c r="S15" s="259">
        <v>9164484</v>
      </c>
      <c r="T15" s="12">
        <f t="shared" si="7"/>
        <v>124.80026</v>
      </c>
      <c r="U15" s="12">
        <f t="shared" si="8"/>
        <v>91.64484</v>
      </c>
      <c r="V15" s="259">
        <v>16847500</v>
      </c>
      <c r="W15" s="259">
        <v>12242300</v>
      </c>
      <c r="X15" s="12">
        <f t="shared" si="9"/>
        <v>168.475</v>
      </c>
      <c r="Y15" s="12">
        <f t="shared" si="10"/>
        <v>122.423</v>
      </c>
    </row>
    <row r="16" spans="1:25" ht="12.75">
      <c r="A16" s="14">
        <v>4</v>
      </c>
      <c r="B16" s="224" t="s">
        <v>834</v>
      </c>
      <c r="C16" s="337">
        <v>615.9421918518518</v>
      </c>
      <c r="D16" s="337">
        <v>409.8002486111111</v>
      </c>
      <c r="E16" s="337">
        <f t="shared" si="2"/>
        <v>1025.7424404629628</v>
      </c>
      <c r="F16" s="339">
        <v>-17.735583479999832</v>
      </c>
      <c r="G16" s="337">
        <v>446.4280060427806</v>
      </c>
      <c r="H16" s="337">
        <f t="shared" si="0"/>
        <v>428.6924225627808</v>
      </c>
      <c r="I16" s="339">
        <v>615.942</v>
      </c>
      <c r="J16" s="337">
        <v>409.80018</v>
      </c>
      <c r="K16" s="337">
        <f t="shared" si="1"/>
        <v>1025.74218</v>
      </c>
      <c r="L16" s="337">
        <v>605.87</v>
      </c>
      <c r="M16" s="337">
        <v>403.12</v>
      </c>
      <c r="N16" s="337">
        <f t="shared" si="3"/>
        <v>1008.99</v>
      </c>
      <c r="O16" s="337">
        <f t="shared" si="4"/>
        <v>-7.663583479999829</v>
      </c>
      <c r="P16" s="337">
        <f t="shared" si="5"/>
        <v>453.10818604278063</v>
      </c>
      <c r="Q16" s="337">
        <f t="shared" si="6"/>
        <v>445.4446025627808</v>
      </c>
      <c r="R16" s="259">
        <v>36755302</v>
      </c>
      <c r="S16" s="259">
        <v>20769868</v>
      </c>
      <c r="T16" s="12">
        <f t="shared" si="7"/>
        <v>367.55302</v>
      </c>
      <c r="U16" s="12">
        <f t="shared" si="8"/>
        <v>207.69868</v>
      </c>
      <c r="V16" s="259">
        <v>49344600</v>
      </c>
      <c r="W16" s="259">
        <v>27936900</v>
      </c>
      <c r="X16" s="12">
        <f t="shared" si="9"/>
        <v>493.446</v>
      </c>
      <c r="Y16" s="12">
        <f t="shared" si="10"/>
        <v>279.369</v>
      </c>
    </row>
    <row r="17" spans="1:25" ht="12.75">
      <c r="A17" s="14">
        <v>5</v>
      </c>
      <c r="B17" s="224" t="s">
        <v>835</v>
      </c>
      <c r="C17" s="337">
        <v>307.9926093886793</v>
      </c>
      <c r="D17" s="337">
        <v>204.9144376981132</v>
      </c>
      <c r="E17" s="337">
        <f t="shared" si="2"/>
        <v>512.9070470867925</v>
      </c>
      <c r="F17" s="339">
        <v>-16.609418919999996</v>
      </c>
      <c r="G17" s="337">
        <v>42.581575414364664</v>
      </c>
      <c r="H17" s="337">
        <f t="shared" si="0"/>
        <v>25.97215649436467</v>
      </c>
      <c r="I17" s="339">
        <v>307.99299999999994</v>
      </c>
      <c r="J17" s="337">
        <v>204.91476</v>
      </c>
      <c r="K17" s="337">
        <f t="shared" si="1"/>
        <v>512.9077599999999</v>
      </c>
      <c r="L17" s="337">
        <v>317.2376</v>
      </c>
      <c r="M17" s="337">
        <v>211.117</v>
      </c>
      <c r="N17" s="337">
        <f t="shared" si="3"/>
        <v>528.3546</v>
      </c>
      <c r="O17" s="337">
        <f t="shared" si="4"/>
        <v>-25.854018920000044</v>
      </c>
      <c r="P17" s="337">
        <f t="shared" si="5"/>
        <v>36.379335414364675</v>
      </c>
      <c r="Q17" s="337">
        <f t="shared" si="6"/>
        <v>10.525316494364574</v>
      </c>
      <c r="R17" s="259">
        <v>18463945</v>
      </c>
      <c r="S17" s="259">
        <v>12312653</v>
      </c>
      <c r="T17" s="12">
        <f t="shared" si="7"/>
        <v>184.63945</v>
      </c>
      <c r="U17" s="12">
        <f t="shared" si="8"/>
        <v>123.12653</v>
      </c>
      <c r="V17" s="259">
        <v>24918600</v>
      </c>
      <c r="W17" s="259">
        <v>16487300</v>
      </c>
      <c r="X17" s="12">
        <f t="shared" si="9"/>
        <v>249.186</v>
      </c>
      <c r="Y17" s="12">
        <f t="shared" si="10"/>
        <v>164.873</v>
      </c>
    </row>
    <row r="18" spans="1:25" ht="12.75">
      <c r="A18" s="14">
        <v>6</v>
      </c>
      <c r="B18" s="224" t="s">
        <v>836</v>
      </c>
      <c r="C18" s="337">
        <v>518.5313675384615</v>
      </c>
      <c r="D18" s="337">
        <v>344.99062759615384</v>
      </c>
      <c r="E18" s="337">
        <f t="shared" si="2"/>
        <v>863.5219951346153</v>
      </c>
      <c r="F18" s="339">
        <v>-116.54635033999983</v>
      </c>
      <c r="G18" s="337">
        <v>514.5012625513513</v>
      </c>
      <c r="H18" s="337">
        <f t="shared" si="0"/>
        <v>397.9549122113514</v>
      </c>
      <c r="I18" s="339">
        <v>518.531</v>
      </c>
      <c r="J18" s="337">
        <v>339.62625</v>
      </c>
      <c r="K18" s="337">
        <f t="shared" si="1"/>
        <v>858.15725</v>
      </c>
      <c r="L18" s="337">
        <v>632.7939799999999</v>
      </c>
      <c r="M18" s="337">
        <v>252.22354</v>
      </c>
      <c r="N18" s="337">
        <f t="shared" si="3"/>
        <v>885.0175199999999</v>
      </c>
      <c r="O18" s="337">
        <f t="shared" si="4"/>
        <v>-230.8093303399998</v>
      </c>
      <c r="P18" s="337">
        <f t="shared" si="5"/>
        <v>601.9039725513512</v>
      </c>
      <c r="Q18" s="337">
        <f t="shared" si="6"/>
        <v>371.0946422113516</v>
      </c>
      <c r="R18" s="259">
        <v>30937431</v>
      </c>
      <c r="S18" s="259">
        <v>25402854</v>
      </c>
      <c r="T18" s="12">
        <f t="shared" si="7"/>
        <v>309.37431</v>
      </c>
      <c r="U18" s="12">
        <f t="shared" si="8"/>
        <v>254.02854</v>
      </c>
      <c r="V18" s="259">
        <v>41524600</v>
      </c>
      <c r="W18" s="259">
        <v>34127100</v>
      </c>
      <c r="X18" s="12">
        <f t="shared" si="9"/>
        <v>415.246</v>
      </c>
      <c r="Y18" s="12">
        <f t="shared" si="10"/>
        <v>341.271</v>
      </c>
    </row>
    <row r="19" spans="1:25" ht="12.75">
      <c r="A19" s="14">
        <v>7</v>
      </c>
      <c r="B19" s="224" t="s">
        <v>837</v>
      </c>
      <c r="C19" s="337">
        <v>352.2486492377358</v>
      </c>
      <c r="D19" s="337">
        <v>234.3589803396226</v>
      </c>
      <c r="E19" s="337">
        <f t="shared" si="2"/>
        <v>586.6076295773584</v>
      </c>
      <c r="F19" s="339">
        <v>-24.9302930799999</v>
      </c>
      <c r="G19" s="337">
        <v>414.05951808510633</v>
      </c>
      <c r="H19" s="337">
        <f t="shared" si="0"/>
        <v>389.12922500510643</v>
      </c>
      <c r="I19" s="339">
        <v>352.249</v>
      </c>
      <c r="J19" s="337">
        <v>234.36071999999996</v>
      </c>
      <c r="K19" s="337">
        <f t="shared" si="1"/>
        <v>586.6097199999999</v>
      </c>
      <c r="L19" s="337">
        <v>376.71000000000004</v>
      </c>
      <c r="M19" s="337">
        <v>239.44000000000003</v>
      </c>
      <c r="N19" s="337">
        <f t="shared" si="3"/>
        <v>616.1500000000001</v>
      </c>
      <c r="O19" s="337">
        <f t="shared" si="4"/>
        <v>-49.39129307999991</v>
      </c>
      <c r="P19" s="337">
        <f t="shared" si="5"/>
        <v>408.9802380851063</v>
      </c>
      <c r="Q19" s="337">
        <f t="shared" si="6"/>
        <v>359.5889450051063</v>
      </c>
      <c r="R19" s="259">
        <v>20992074</v>
      </c>
      <c r="S19" s="259">
        <v>20741489</v>
      </c>
      <c r="T19" s="12">
        <f t="shared" si="7"/>
        <v>209.92074</v>
      </c>
      <c r="U19" s="12">
        <f t="shared" si="8"/>
        <v>207.41489</v>
      </c>
      <c r="V19" s="259">
        <v>28139900</v>
      </c>
      <c r="W19" s="259">
        <v>27593300</v>
      </c>
      <c r="X19" s="12">
        <f t="shared" si="9"/>
        <v>281.399</v>
      </c>
      <c r="Y19" s="12">
        <f t="shared" si="10"/>
        <v>275.933</v>
      </c>
    </row>
    <row r="20" spans="1:25" ht="12.75">
      <c r="A20" s="14">
        <v>8</v>
      </c>
      <c r="B20" s="224" t="s">
        <v>838</v>
      </c>
      <c r="C20" s="337">
        <v>824.2408712</v>
      </c>
      <c r="D20" s="337">
        <v>548.3860635</v>
      </c>
      <c r="E20" s="337">
        <f t="shared" si="2"/>
        <v>1372.6269347</v>
      </c>
      <c r="F20" s="339">
        <v>-32.52805987999989</v>
      </c>
      <c r="G20" s="337">
        <v>636.250796858639</v>
      </c>
      <c r="H20" s="337">
        <f t="shared" si="0"/>
        <v>603.7227369786391</v>
      </c>
      <c r="I20" s="339">
        <v>824.241</v>
      </c>
      <c r="J20" s="337">
        <v>548.38816</v>
      </c>
      <c r="K20" s="337">
        <f t="shared" si="1"/>
        <v>1372.62916</v>
      </c>
      <c r="L20" s="337">
        <v>769.3499999999999</v>
      </c>
      <c r="M20" s="337">
        <v>511.86</v>
      </c>
      <c r="N20" s="337">
        <f t="shared" si="3"/>
        <v>1281.21</v>
      </c>
      <c r="O20" s="337">
        <f t="shared" si="4"/>
        <v>22.36294012000019</v>
      </c>
      <c r="P20" s="337">
        <f t="shared" si="5"/>
        <v>672.7789568586389</v>
      </c>
      <c r="Q20" s="337">
        <f t="shared" si="6"/>
        <v>695.1418969786391</v>
      </c>
      <c r="R20" s="259">
        <v>48690927</v>
      </c>
      <c r="S20" s="259">
        <v>29757842</v>
      </c>
      <c r="T20" s="12">
        <f t="shared" si="7"/>
        <v>486.90927</v>
      </c>
      <c r="U20" s="12">
        <f t="shared" si="8"/>
        <v>297.57842</v>
      </c>
      <c r="V20" s="259">
        <v>64601500</v>
      </c>
      <c r="W20" s="259">
        <v>39805500</v>
      </c>
      <c r="X20" s="12">
        <f t="shared" si="9"/>
        <v>646.015</v>
      </c>
      <c r="Y20" s="12">
        <f t="shared" si="10"/>
        <v>398.055</v>
      </c>
    </row>
    <row r="21" spans="1:25" ht="12.75">
      <c r="A21" s="14">
        <v>9</v>
      </c>
      <c r="B21" s="224" t="s">
        <v>839</v>
      </c>
      <c r="C21" s="337">
        <v>1065.9659397019607</v>
      </c>
      <c r="D21" s="337">
        <v>709.2112098823528</v>
      </c>
      <c r="E21" s="337">
        <f t="shared" si="2"/>
        <v>1775.1771495843136</v>
      </c>
      <c r="F21" s="339">
        <v>-62.72526344000016</v>
      </c>
      <c r="G21" s="337">
        <v>1539.4695037837837</v>
      </c>
      <c r="H21" s="337">
        <f t="shared" si="0"/>
        <v>1476.7442403437835</v>
      </c>
      <c r="I21" s="339">
        <v>1065.966</v>
      </c>
      <c r="J21" s="337">
        <v>709.20941</v>
      </c>
      <c r="K21" s="337">
        <f t="shared" si="1"/>
        <v>1775.1754099999998</v>
      </c>
      <c r="L21" s="337">
        <v>1152.69</v>
      </c>
      <c r="M21" s="337">
        <v>766.9</v>
      </c>
      <c r="N21" s="337">
        <f t="shared" si="3"/>
        <v>1919.5900000000001</v>
      </c>
      <c r="O21" s="337">
        <f t="shared" si="4"/>
        <v>-149.44926344000032</v>
      </c>
      <c r="P21" s="337">
        <f t="shared" si="5"/>
        <v>1481.7789137837835</v>
      </c>
      <c r="Q21" s="337">
        <f t="shared" si="6"/>
        <v>1332.3296503437832</v>
      </c>
      <c r="R21" s="259">
        <v>63466735</v>
      </c>
      <c r="S21" s="259">
        <v>41843229</v>
      </c>
      <c r="T21" s="12">
        <f t="shared" si="7"/>
        <v>634.66735</v>
      </c>
      <c r="U21" s="12">
        <f t="shared" si="8"/>
        <v>418.43229</v>
      </c>
      <c r="V21" s="259">
        <v>84981800</v>
      </c>
      <c r="W21" s="259">
        <v>56047300</v>
      </c>
      <c r="X21" s="12">
        <f t="shared" si="9"/>
        <v>849.818</v>
      </c>
      <c r="Y21" s="12">
        <f t="shared" si="10"/>
        <v>560.473</v>
      </c>
    </row>
    <row r="22" spans="1:25" ht="12.75">
      <c r="A22" s="14">
        <v>10</v>
      </c>
      <c r="B22" s="224" t="s">
        <v>840</v>
      </c>
      <c r="C22" s="337">
        <v>357.3006512979592</v>
      </c>
      <c r="D22" s="337">
        <v>237.72019138775508</v>
      </c>
      <c r="E22" s="337">
        <f t="shared" si="2"/>
        <v>595.0208426857142</v>
      </c>
      <c r="F22" s="339">
        <v>14.431008600000212</v>
      </c>
      <c r="G22" s="337">
        <v>355.87928888888894</v>
      </c>
      <c r="H22" s="337">
        <f t="shared" si="0"/>
        <v>370.31029748888915</v>
      </c>
      <c r="I22" s="339">
        <v>357.301</v>
      </c>
      <c r="J22" s="337">
        <v>237.7219</v>
      </c>
      <c r="K22" s="337">
        <f t="shared" si="1"/>
        <v>595.0228999999999</v>
      </c>
      <c r="L22" s="337">
        <v>385.62</v>
      </c>
      <c r="M22" s="337">
        <v>256.66</v>
      </c>
      <c r="N22" s="337">
        <f t="shared" si="3"/>
        <v>642.28</v>
      </c>
      <c r="O22" s="337">
        <f t="shared" si="4"/>
        <v>-13.887991399999805</v>
      </c>
      <c r="P22" s="337">
        <f t="shared" si="5"/>
        <v>336.9411888888889</v>
      </c>
      <c r="Q22" s="337">
        <f t="shared" si="6"/>
        <v>323.05319748888905</v>
      </c>
      <c r="R22" s="259">
        <v>21495826</v>
      </c>
      <c r="S22" s="259">
        <v>14567600</v>
      </c>
      <c r="T22" s="12">
        <f t="shared" si="7"/>
        <v>214.95826</v>
      </c>
      <c r="U22" s="12">
        <f t="shared" si="8"/>
        <v>145.676</v>
      </c>
      <c r="V22" s="259">
        <v>29126000</v>
      </c>
      <c r="W22" s="259">
        <v>19622100</v>
      </c>
      <c r="X22" s="12">
        <f t="shared" si="9"/>
        <v>291.26</v>
      </c>
      <c r="Y22" s="12">
        <f t="shared" si="10"/>
        <v>196.221</v>
      </c>
    </row>
    <row r="23" spans="1:25" ht="12.75">
      <c r="A23" s="14">
        <v>11</v>
      </c>
      <c r="B23" s="224" t="s">
        <v>841</v>
      </c>
      <c r="C23" s="337">
        <v>523.6043606037736</v>
      </c>
      <c r="D23" s="337">
        <v>348.36580443396224</v>
      </c>
      <c r="E23" s="337">
        <f t="shared" si="2"/>
        <v>871.9701650377358</v>
      </c>
      <c r="F23" s="339">
        <v>-4.607899640000255</v>
      </c>
      <c r="G23" s="337">
        <v>767.2828311827959</v>
      </c>
      <c r="H23" s="337">
        <f t="shared" si="0"/>
        <v>762.6749315427957</v>
      </c>
      <c r="I23" s="339">
        <v>523.604</v>
      </c>
      <c r="J23" s="337">
        <v>348.36431</v>
      </c>
      <c r="K23" s="337">
        <f t="shared" si="1"/>
        <v>871.96831</v>
      </c>
      <c r="L23" s="337">
        <v>584.9244</v>
      </c>
      <c r="M23" s="337">
        <v>400.5952</v>
      </c>
      <c r="N23" s="337">
        <f t="shared" si="3"/>
        <v>985.5196</v>
      </c>
      <c r="O23" s="337">
        <f t="shared" si="4"/>
        <v>-65.9282996400002</v>
      </c>
      <c r="P23" s="337">
        <f t="shared" si="5"/>
        <v>715.0519411827959</v>
      </c>
      <c r="Q23" s="337">
        <f t="shared" si="6"/>
        <v>649.1236415427958</v>
      </c>
      <c r="R23" s="259">
        <v>31327514</v>
      </c>
      <c r="S23" s="259">
        <v>21006940</v>
      </c>
      <c r="T23" s="12">
        <f t="shared" si="7"/>
        <v>313.27514</v>
      </c>
      <c r="U23" s="12">
        <f t="shared" si="8"/>
        <v>210.0694</v>
      </c>
      <c r="V23" s="259">
        <v>42184700</v>
      </c>
      <c r="W23" s="259">
        <v>28273300</v>
      </c>
      <c r="X23" s="12">
        <f t="shared" si="9"/>
        <v>421.847</v>
      </c>
      <c r="Y23" s="12">
        <f t="shared" si="10"/>
        <v>282.733</v>
      </c>
    </row>
    <row r="24" spans="1:25" ht="12.75">
      <c r="A24" s="14">
        <v>12</v>
      </c>
      <c r="B24" s="224" t="s">
        <v>842</v>
      </c>
      <c r="C24" s="337">
        <v>602.417445772549</v>
      </c>
      <c r="D24" s="337">
        <v>400.8019296470588</v>
      </c>
      <c r="E24" s="337">
        <f t="shared" si="2"/>
        <v>1003.2193754196078</v>
      </c>
      <c r="F24" s="339">
        <v>69.6886154</v>
      </c>
      <c r="G24" s="337">
        <v>775.5714332432433</v>
      </c>
      <c r="H24" s="337">
        <f t="shared" si="0"/>
        <v>845.2600486432433</v>
      </c>
      <c r="I24" s="339">
        <v>602.417</v>
      </c>
      <c r="J24" s="337">
        <v>400.8021</v>
      </c>
      <c r="K24" s="337">
        <f t="shared" si="1"/>
        <v>1003.2191</v>
      </c>
      <c r="L24" s="337">
        <v>545.4785800000001</v>
      </c>
      <c r="M24" s="337">
        <v>363.65290000000005</v>
      </c>
      <c r="N24" s="337">
        <f t="shared" si="3"/>
        <v>909.1314800000001</v>
      </c>
      <c r="O24" s="337">
        <f t="shared" si="4"/>
        <v>126.62703539999995</v>
      </c>
      <c r="P24" s="337">
        <f t="shared" si="5"/>
        <v>812.7206332432434</v>
      </c>
      <c r="Q24" s="337">
        <f t="shared" si="6"/>
        <v>939.3476686432431</v>
      </c>
      <c r="R24" s="259">
        <v>36197750</v>
      </c>
      <c r="S24" s="259">
        <v>27035926</v>
      </c>
      <c r="T24" s="12">
        <f t="shared" si="7"/>
        <v>361.9775</v>
      </c>
      <c r="U24" s="12">
        <f t="shared" si="8"/>
        <v>270.35926</v>
      </c>
      <c r="V24" s="259">
        <v>48983400</v>
      </c>
      <c r="W24" s="259">
        <v>36568000</v>
      </c>
      <c r="X24" s="12">
        <f t="shared" si="9"/>
        <v>489.834</v>
      </c>
      <c r="Y24" s="12">
        <f t="shared" si="10"/>
        <v>365.68</v>
      </c>
    </row>
    <row r="25" spans="1:25" ht="12.75">
      <c r="A25" s="14">
        <v>13</v>
      </c>
      <c r="B25" s="224" t="s">
        <v>843</v>
      </c>
      <c r="C25" s="337">
        <v>249.2234152296296</v>
      </c>
      <c r="D25" s="337">
        <v>165.81396577777778</v>
      </c>
      <c r="E25" s="337">
        <f t="shared" si="2"/>
        <v>415.03738100740736</v>
      </c>
      <c r="F25" s="339">
        <v>6.361137639999981</v>
      </c>
      <c r="G25" s="337">
        <v>690.8219123655913</v>
      </c>
      <c r="H25" s="337">
        <f t="shared" si="0"/>
        <v>697.1830500055912</v>
      </c>
      <c r="I25" s="339">
        <v>249.22300000000004</v>
      </c>
      <c r="J25" s="337">
        <v>165.81273</v>
      </c>
      <c r="K25" s="337">
        <f t="shared" si="1"/>
        <v>415.03573000000006</v>
      </c>
      <c r="L25" s="337">
        <v>259.15</v>
      </c>
      <c r="M25" s="337">
        <v>172.76</v>
      </c>
      <c r="N25" s="337">
        <f t="shared" si="3"/>
        <v>431.90999999999997</v>
      </c>
      <c r="O25" s="337">
        <f t="shared" si="4"/>
        <v>-3.5658623599999544</v>
      </c>
      <c r="P25" s="337">
        <f t="shared" si="5"/>
        <v>683.8746423655913</v>
      </c>
      <c r="Q25" s="337">
        <f t="shared" si="6"/>
        <v>680.3087800055913</v>
      </c>
      <c r="R25" s="259">
        <v>14986251</v>
      </c>
      <c r="S25" s="259">
        <v>13176258</v>
      </c>
      <c r="T25" s="12">
        <f t="shared" si="7"/>
        <v>149.86251</v>
      </c>
      <c r="U25" s="12">
        <f t="shared" si="8"/>
        <v>131.76258</v>
      </c>
      <c r="V25" s="259">
        <v>20297100</v>
      </c>
      <c r="W25" s="259">
        <v>17749800</v>
      </c>
      <c r="X25" s="12">
        <f t="shared" si="9"/>
        <v>202.971</v>
      </c>
      <c r="Y25" s="12">
        <f t="shared" si="10"/>
        <v>177.498</v>
      </c>
    </row>
    <row r="26" spans="1:25" ht="12.75">
      <c r="A26" s="14">
        <v>14</v>
      </c>
      <c r="B26" s="224" t="s">
        <v>844</v>
      </c>
      <c r="C26" s="337">
        <v>304.9599605735849</v>
      </c>
      <c r="D26" s="337">
        <v>202.89674796226413</v>
      </c>
      <c r="E26" s="337">
        <f t="shared" si="2"/>
        <v>507.85670853584907</v>
      </c>
      <c r="F26" s="339">
        <v>-0.5866427600001316</v>
      </c>
      <c r="G26" s="337">
        <v>320.09060188172054</v>
      </c>
      <c r="H26" s="337">
        <f t="shared" si="0"/>
        <v>319.5039591217204</v>
      </c>
      <c r="I26" s="339">
        <v>304.96</v>
      </c>
      <c r="J26" s="337">
        <v>202.8947</v>
      </c>
      <c r="K26" s="337">
        <f t="shared" si="1"/>
        <v>507.8547</v>
      </c>
      <c r="L26" s="337">
        <v>298.44823</v>
      </c>
      <c r="M26" s="337">
        <v>198.4655</v>
      </c>
      <c r="N26" s="337">
        <f t="shared" si="3"/>
        <v>496.91373</v>
      </c>
      <c r="O26" s="337">
        <f t="shared" si="4"/>
        <v>5.925127239999824</v>
      </c>
      <c r="P26" s="337">
        <f t="shared" si="5"/>
        <v>324.51980188172047</v>
      </c>
      <c r="Q26" s="337">
        <f t="shared" si="6"/>
        <v>330.4449291217204</v>
      </c>
      <c r="R26" s="259">
        <v>18304061</v>
      </c>
      <c r="S26" s="259">
        <v>13416770</v>
      </c>
      <c r="T26" s="12">
        <f t="shared" si="7"/>
        <v>183.04061</v>
      </c>
      <c r="U26" s="12">
        <f t="shared" si="8"/>
        <v>134.1677</v>
      </c>
      <c r="V26" s="259">
        <v>24738500</v>
      </c>
      <c r="W26" s="259">
        <v>17994800</v>
      </c>
      <c r="X26" s="12">
        <f t="shared" si="9"/>
        <v>247.385</v>
      </c>
      <c r="Y26" s="12">
        <f t="shared" si="10"/>
        <v>179.948</v>
      </c>
    </row>
    <row r="27" spans="1:25" ht="12.75">
      <c r="A27" s="14">
        <v>15</v>
      </c>
      <c r="B27" s="224" t="s">
        <v>845</v>
      </c>
      <c r="C27" s="337">
        <v>602.9212179826086</v>
      </c>
      <c r="D27" s="337">
        <v>401.137100673913</v>
      </c>
      <c r="E27" s="337">
        <f t="shared" si="2"/>
        <v>1004.0583186565216</v>
      </c>
      <c r="F27" s="339">
        <v>25.65541855999993</v>
      </c>
      <c r="G27" s="337">
        <v>640.5231092592593</v>
      </c>
      <c r="H27" s="337">
        <f t="shared" si="0"/>
        <v>666.1785278192592</v>
      </c>
      <c r="I27" s="339">
        <v>602.921</v>
      </c>
      <c r="J27" s="337">
        <v>401.13738</v>
      </c>
      <c r="K27" s="337">
        <f t="shared" si="1"/>
        <v>1004.05838</v>
      </c>
      <c r="L27" s="337">
        <v>589.01</v>
      </c>
      <c r="M27" s="337">
        <v>392.32</v>
      </c>
      <c r="N27" s="337">
        <f t="shared" si="3"/>
        <v>981.3299999999999</v>
      </c>
      <c r="O27" s="337">
        <f t="shared" si="4"/>
        <v>39.56641855999999</v>
      </c>
      <c r="P27" s="337">
        <f t="shared" si="5"/>
        <v>649.3404892592594</v>
      </c>
      <c r="Q27" s="337">
        <f t="shared" si="6"/>
        <v>688.9069078192592</v>
      </c>
      <c r="R27" s="259">
        <v>36025710</v>
      </c>
      <c r="S27" s="259">
        <v>24708186</v>
      </c>
      <c r="T27" s="12">
        <f t="shared" si="7"/>
        <v>360.2571</v>
      </c>
      <c r="U27" s="12">
        <f t="shared" si="8"/>
        <v>247.08186</v>
      </c>
      <c r="V27" s="259">
        <v>48438100</v>
      </c>
      <c r="W27" s="259">
        <v>33098100</v>
      </c>
      <c r="X27" s="12">
        <f t="shared" si="9"/>
        <v>484.381</v>
      </c>
      <c r="Y27" s="12">
        <f t="shared" si="10"/>
        <v>330.981</v>
      </c>
    </row>
    <row r="28" spans="1:25" ht="12.75">
      <c r="A28" s="14">
        <v>16</v>
      </c>
      <c r="B28" s="224" t="s">
        <v>846</v>
      </c>
      <c r="C28" s="337">
        <v>1028.5189248941176</v>
      </c>
      <c r="D28" s="337">
        <v>684.2968653529412</v>
      </c>
      <c r="E28" s="337">
        <f t="shared" si="2"/>
        <v>1712.8157902470589</v>
      </c>
      <c r="F28" s="339">
        <v>34.94876511999996</v>
      </c>
      <c r="G28" s="337">
        <v>1367.3255414438504</v>
      </c>
      <c r="H28" s="337">
        <f t="shared" si="0"/>
        <v>1402.2743065638504</v>
      </c>
      <c r="I28" s="339">
        <v>1028.519</v>
      </c>
      <c r="J28" s="337">
        <v>684.29811</v>
      </c>
      <c r="K28" s="337">
        <f t="shared" si="1"/>
        <v>1712.81711</v>
      </c>
      <c r="L28" s="337">
        <v>1046.52</v>
      </c>
      <c r="M28" s="337">
        <v>696.3599999999999</v>
      </c>
      <c r="N28" s="337">
        <f t="shared" si="3"/>
        <v>1742.8799999999999</v>
      </c>
      <c r="O28" s="337">
        <f t="shared" si="4"/>
        <v>16.947765119999985</v>
      </c>
      <c r="P28" s="337">
        <f t="shared" si="5"/>
        <v>1355.2636514438507</v>
      </c>
      <c r="Q28" s="337">
        <f t="shared" si="6"/>
        <v>1372.2114165638507</v>
      </c>
      <c r="R28" s="259">
        <v>61138200</v>
      </c>
      <c r="S28" s="259">
        <v>36125230</v>
      </c>
      <c r="T28" s="12">
        <f t="shared" si="7"/>
        <v>611.382</v>
      </c>
      <c r="U28" s="12">
        <f t="shared" si="8"/>
        <v>361.2523</v>
      </c>
      <c r="V28" s="259">
        <v>81711400</v>
      </c>
      <c r="W28" s="259">
        <v>48079500</v>
      </c>
      <c r="X28" s="12">
        <f t="shared" si="9"/>
        <v>817.114</v>
      </c>
      <c r="Y28" s="12">
        <f t="shared" si="10"/>
        <v>480.795</v>
      </c>
    </row>
    <row r="29" spans="1:25" ht="12.75">
      <c r="A29" s="14">
        <v>17</v>
      </c>
      <c r="B29" s="224" t="s">
        <v>847</v>
      </c>
      <c r="C29" s="337">
        <v>648.1116959</v>
      </c>
      <c r="D29" s="337">
        <v>431.2033460625</v>
      </c>
      <c r="E29" s="337">
        <f t="shared" si="2"/>
        <v>1079.3150419625</v>
      </c>
      <c r="F29" s="339">
        <v>0.6548080399998071</v>
      </c>
      <c r="G29" s="337">
        <v>551.411338</v>
      </c>
      <c r="H29" s="337">
        <f t="shared" si="0"/>
        <v>552.0661460399998</v>
      </c>
      <c r="I29" s="339">
        <v>648.112</v>
      </c>
      <c r="J29" s="337">
        <v>431.20361</v>
      </c>
      <c r="K29" s="337">
        <f t="shared" si="1"/>
        <v>1079.31561</v>
      </c>
      <c r="L29" s="337">
        <v>630.3799999999999</v>
      </c>
      <c r="M29" s="337">
        <v>420.27</v>
      </c>
      <c r="N29" s="337">
        <f t="shared" si="3"/>
        <v>1050.6499999999999</v>
      </c>
      <c r="O29" s="337">
        <f t="shared" si="4"/>
        <v>18.38680803999989</v>
      </c>
      <c r="P29" s="337">
        <f t="shared" si="5"/>
        <v>562.344948</v>
      </c>
      <c r="Q29" s="337">
        <f t="shared" si="6"/>
        <v>580.7317560399999</v>
      </c>
      <c r="R29" s="259">
        <v>38875354</v>
      </c>
      <c r="S29" s="259">
        <v>30349240</v>
      </c>
      <c r="T29" s="12">
        <f t="shared" si="7"/>
        <v>388.75354</v>
      </c>
      <c r="U29" s="12">
        <f t="shared" si="8"/>
        <v>303.4924</v>
      </c>
      <c r="V29" s="259">
        <v>52501600</v>
      </c>
      <c r="W29" s="259">
        <v>40774800</v>
      </c>
      <c r="X29" s="12">
        <f t="shared" si="9"/>
        <v>525.016</v>
      </c>
      <c r="Y29" s="12">
        <f t="shared" si="10"/>
        <v>407.748</v>
      </c>
    </row>
    <row r="30" spans="1:25" ht="12.75">
      <c r="A30" s="14">
        <v>18</v>
      </c>
      <c r="B30" s="224" t="s">
        <v>848</v>
      </c>
      <c r="C30" s="337">
        <v>514.8237735</v>
      </c>
      <c r="D30" s="337">
        <v>342.5238815625</v>
      </c>
      <c r="E30" s="337">
        <f t="shared" si="2"/>
        <v>857.3476550625</v>
      </c>
      <c r="F30" s="339">
        <v>-25.603646760000174</v>
      </c>
      <c r="G30" s="337">
        <v>693.9307540106952</v>
      </c>
      <c r="H30" s="337">
        <f t="shared" si="0"/>
        <v>668.327107250695</v>
      </c>
      <c r="I30" s="339">
        <v>514.824</v>
      </c>
      <c r="J30" s="337">
        <v>342.52205</v>
      </c>
      <c r="K30" s="337">
        <f t="shared" si="1"/>
        <v>857.3460499999999</v>
      </c>
      <c r="L30" s="337">
        <v>524.52</v>
      </c>
      <c r="M30" s="337">
        <v>349.69</v>
      </c>
      <c r="N30" s="337">
        <f t="shared" si="3"/>
        <v>874.21</v>
      </c>
      <c r="O30" s="337">
        <f t="shared" si="4"/>
        <v>-35.2996467600002</v>
      </c>
      <c r="P30" s="337">
        <f t="shared" si="5"/>
        <v>686.7628040106952</v>
      </c>
      <c r="Q30" s="337">
        <f t="shared" si="6"/>
        <v>651.4631572506948</v>
      </c>
      <c r="R30" s="259">
        <v>30985099</v>
      </c>
      <c r="S30" s="259">
        <v>25566224</v>
      </c>
      <c r="T30" s="12">
        <f t="shared" si="7"/>
        <v>309.85099</v>
      </c>
      <c r="U30" s="12">
        <f t="shared" si="8"/>
        <v>255.66224</v>
      </c>
      <c r="V30" s="259">
        <v>42007200</v>
      </c>
      <c r="W30" s="259">
        <v>34433800</v>
      </c>
      <c r="X30" s="12">
        <f t="shared" si="9"/>
        <v>420.072</v>
      </c>
      <c r="Y30" s="12">
        <f t="shared" si="10"/>
        <v>344.338</v>
      </c>
    </row>
    <row r="31" spans="1:25" ht="12.75">
      <c r="A31" s="14">
        <v>19</v>
      </c>
      <c r="B31" s="224" t="s">
        <v>849</v>
      </c>
      <c r="C31" s="337">
        <v>533.3876075835616</v>
      </c>
      <c r="D31" s="337">
        <v>354.87481956164373</v>
      </c>
      <c r="E31" s="337">
        <f t="shared" si="2"/>
        <v>888.2624271452053</v>
      </c>
      <c r="F31" s="339">
        <v>-48.16543808000017</v>
      </c>
      <c r="G31" s="337">
        <v>604.7756236702128</v>
      </c>
      <c r="H31" s="337">
        <f t="shared" si="0"/>
        <v>556.6101855902126</v>
      </c>
      <c r="I31" s="339">
        <v>533.388</v>
      </c>
      <c r="J31" s="337">
        <v>354.87293</v>
      </c>
      <c r="K31" s="337">
        <f t="shared" si="1"/>
        <v>888.26093</v>
      </c>
      <c r="L31" s="337">
        <v>573.26</v>
      </c>
      <c r="M31" s="337">
        <v>376.36</v>
      </c>
      <c r="N31" s="337">
        <f t="shared" si="3"/>
        <v>949.62</v>
      </c>
      <c r="O31" s="337">
        <f t="shared" si="4"/>
        <v>-88.03743808000013</v>
      </c>
      <c r="P31" s="337">
        <f t="shared" si="5"/>
        <v>583.2885536702128</v>
      </c>
      <c r="Q31" s="337">
        <f t="shared" si="6"/>
        <v>495.25111559021263</v>
      </c>
      <c r="R31" s="259">
        <v>31908973</v>
      </c>
      <c r="S31" s="259">
        <v>19462368</v>
      </c>
      <c r="T31" s="12">
        <f t="shared" si="7"/>
        <v>319.08973</v>
      </c>
      <c r="U31" s="12">
        <f t="shared" si="8"/>
        <v>194.62368</v>
      </c>
      <c r="V31" s="259">
        <v>42958900</v>
      </c>
      <c r="W31" s="259">
        <v>26106700</v>
      </c>
      <c r="X31" s="12">
        <f t="shared" si="9"/>
        <v>429.589</v>
      </c>
      <c r="Y31" s="12">
        <f t="shared" si="10"/>
        <v>261.067</v>
      </c>
    </row>
    <row r="32" spans="1:25" ht="12.75">
      <c r="A32" s="14">
        <v>20</v>
      </c>
      <c r="B32" s="224" t="s">
        <v>850</v>
      </c>
      <c r="C32" s="337">
        <v>364.34854014285713</v>
      </c>
      <c r="D32" s="337">
        <v>242.40931098214284</v>
      </c>
      <c r="E32" s="337">
        <f t="shared" si="2"/>
        <v>606.757851125</v>
      </c>
      <c r="F32" s="339">
        <v>-29.544572480000113</v>
      </c>
      <c r="G32" s="337">
        <v>204.9505421052631</v>
      </c>
      <c r="H32" s="337">
        <f t="shared" si="0"/>
        <v>175.405969625263</v>
      </c>
      <c r="I32" s="339">
        <v>364.349</v>
      </c>
      <c r="J32" s="337">
        <v>242.40744</v>
      </c>
      <c r="K32" s="337">
        <f t="shared" si="1"/>
        <v>606.75644</v>
      </c>
      <c r="L32" s="337">
        <v>342.9</v>
      </c>
      <c r="M32" s="337">
        <v>228.58</v>
      </c>
      <c r="N32" s="337">
        <f t="shared" si="3"/>
        <v>571.48</v>
      </c>
      <c r="O32" s="337">
        <f t="shared" si="4"/>
        <v>-8.0955724800001</v>
      </c>
      <c r="P32" s="337">
        <f t="shared" si="5"/>
        <v>218.77798210526308</v>
      </c>
      <c r="Q32" s="337">
        <f t="shared" si="6"/>
        <v>210.68240962526295</v>
      </c>
      <c r="R32" s="259">
        <v>21721467</v>
      </c>
      <c r="S32" s="259">
        <v>13998247</v>
      </c>
      <c r="T32" s="12">
        <f t="shared" si="7"/>
        <v>217.21467</v>
      </c>
      <c r="U32" s="12">
        <f t="shared" si="8"/>
        <v>139.98247</v>
      </c>
      <c r="V32" s="259">
        <v>29129400</v>
      </c>
      <c r="W32" s="259">
        <v>18716200</v>
      </c>
      <c r="X32" s="12">
        <f t="shared" si="9"/>
        <v>291.294</v>
      </c>
      <c r="Y32" s="12">
        <f t="shared" si="10"/>
        <v>187.162</v>
      </c>
    </row>
    <row r="33" spans="1:25" ht="12.75">
      <c r="A33" s="14">
        <v>21</v>
      </c>
      <c r="B33" s="224" t="s">
        <v>851</v>
      </c>
      <c r="C33" s="337">
        <v>579.9602574</v>
      </c>
      <c r="D33" s="337">
        <v>385.86065512499994</v>
      </c>
      <c r="E33" s="337">
        <f t="shared" si="2"/>
        <v>965.820912525</v>
      </c>
      <c r="F33" s="339">
        <v>-87.60613472000011</v>
      </c>
      <c r="G33" s="337">
        <v>455.80491968085107</v>
      </c>
      <c r="H33" s="337">
        <f t="shared" si="0"/>
        <v>368.19878496085096</v>
      </c>
      <c r="I33" s="339">
        <v>579.96</v>
      </c>
      <c r="J33" s="337">
        <v>385.86118</v>
      </c>
      <c r="K33" s="337">
        <f t="shared" si="1"/>
        <v>965.82118</v>
      </c>
      <c r="L33" s="533">
        <v>590.5899999999999</v>
      </c>
      <c r="M33" s="533">
        <v>392.93</v>
      </c>
      <c r="N33" s="337">
        <f t="shared" si="3"/>
        <v>983.52</v>
      </c>
      <c r="O33" s="337">
        <f t="shared" si="4"/>
        <v>-98.23613472</v>
      </c>
      <c r="P33" s="337">
        <f t="shared" si="5"/>
        <v>448.73609968085105</v>
      </c>
      <c r="Q33" s="337">
        <f t="shared" si="6"/>
        <v>350.499964960851</v>
      </c>
      <c r="R33" s="259">
        <v>34391726</v>
      </c>
      <c r="S33" s="259">
        <v>17901646</v>
      </c>
      <c r="T33" s="12">
        <f t="shared" si="7"/>
        <v>343.91726</v>
      </c>
      <c r="U33" s="12">
        <f t="shared" si="8"/>
        <v>179.01646</v>
      </c>
      <c r="V33" s="259">
        <v>45830000</v>
      </c>
      <c r="W33" s="259">
        <v>24001800</v>
      </c>
      <c r="X33" s="12">
        <f t="shared" si="9"/>
        <v>458.3</v>
      </c>
      <c r="Y33" s="12">
        <f t="shared" si="10"/>
        <v>240.018</v>
      </c>
    </row>
    <row r="34" spans="1:25" ht="12.75">
      <c r="A34" s="14">
        <v>22</v>
      </c>
      <c r="B34" s="224" t="s">
        <v>852</v>
      </c>
      <c r="C34" s="337">
        <v>442.9401195692308</v>
      </c>
      <c r="D34" s="337">
        <v>294.6980634230769</v>
      </c>
      <c r="E34" s="337">
        <f t="shared" si="2"/>
        <v>737.6381829923077</v>
      </c>
      <c r="F34" s="339">
        <v>-48.29383152000008</v>
      </c>
      <c r="G34" s="337">
        <v>11.039890810810903</v>
      </c>
      <c r="H34" s="337">
        <f t="shared" si="0"/>
        <v>-37.25394070918918</v>
      </c>
      <c r="I34" s="339">
        <v>442.94</v>
      </c>
      <c r="J34" s="337">
        <v>294.69855</v>
      </c>
      <c r="K34" s="337">
        <f t="shared" si="1"/>
        <v>737.63855</v>
      </c>
      <c r="L34" s="337">
        <v>418.33000000000004</v>
      </c>
      <c r="M34" s="337">
        <v>278.9</v>
      </c>
      <c r="N34" s="337">
        <f t="shared" si="3"/>
        <v>697.23</v>
      </c>
      <c r="O34" s="337">
        <f t="shared" si="4"/>
        <v>-23.683831520000126</v>
      </c>
      <c r="P34" s="337">
        <f t="shared" si="5"/>
        <v>26.838440810810937</v>
      </c>
      <c r="Q34" s="337">
        <f t="shared" si="6"/>
        <v>3.1546092908108676</v>
      </c>
      <c r="R34" s="259">
        <v>26269075</v>
      </c>
      <c r="S34" s="259">
        <v>14538153</v>
      </c>
      <c r="T34" s="12">
        <f t="shared" si="7"/>
        <v>262.69075</v>
      </c>
      <c r="U34" s="12">
        <f t="shared" si="8"/>
        <v>145.38153</v>
      </c>
      <c r="V34" s="259">
        <v>35013500</v>
      </c>
      <c r="W34" s="259">
        <v>19379400</v>
      </c>
      <c r="X34" s="12">
        <f t="shared" si="9"/>
        <v>350.135</v>
      </c>
      <c r="Y34" s="12">
        <f t="shared" si="10"/>
        <v>193.794</v>
      </c>
    </row>
    <row r="35" spans="1:25" ht="12.75">
      <c r="A35" s="14">
        <v>23</v>
      </c>
      <c r="B35" s="224" t="s">
        <v>853</v>
      </c>
      <c r="C35" s="337">
        <v>626.8637346253522</v>
      </c>
      <c r="D35" s="337">
        <v>417.0665976338028</v>
      </c>
      <c r="E35" s="337">
        <f t="shared" si="2"/>
        <v>1043.930332259155</v>
      </c>
      <c r="F35" s="339">
        <v>-133.46783035999988</v>
      </c>
      <c r="G35" s="337">
        <v>583.8739591623037</v>
      </c>
      <c r="H35" s="337">
        <f t="shared" si="0"/>
        <v>450.4061288023038</v>
      </c>
      <c r="I35" s="339">
        <v>626.864</v>
      </c>
      <c r="J35" s="337">
        <v>417.06737</v>
      </c>
      <c r="K35" s="337">
        <f t="shared" si="1"/>
        <v>1043.93137</v>
      </c>
      <c r="L35" s="337">
        <v>659.1529</v>
      </c>
      <c r="M35" s="337">
        <v>366.13</v>
      </c>
      <c r="N35" s="337">
        <f t="shared" si="3"/>
        <v>1025.2829000000002</v>
      </c>
      <c r="O35" s="337">
        <f t="shared" si="4"/>
        <v>-165.7567303599999</v>
      </c>
      <c r="P35" s="337">
        <f t="shared" si="5"/>
        <v>634.8113291623037</v>
      </c>
      <c r="Q35" s="337">
        <f t="shared" si="6"/>
        <v>469.05459880230364</v>
      </c>
      <c r="R35" s="259">
        <v>37060740</v>
      </c>
      <c r="S35" s="259">
        <v>22998908</v>
      </c>
      <c r="T35" s="12">
        <f t="shared" si="7"/>
        <v>370.6074</v>
      </c>
      <c r="U35" s="12">
        <f t="shared" si="8"/>
        <v>229.98908</v>
      </c>
      <c r="V35" s="259">
        <v>49216200</v>
      </c>
      <c r="W35" s="259">
        <v>31070400</v>
      </c>
      <c r="X35" s="12">
        <f t="shared" si="9"/>
        <v>492.162</v>
      </c>
      <c r="Y35" s="12">
        <f t="shared" si="10"/>
        <v>310.704</v>
      </c>
    </row>
    <row r="36" spans="1:25" ht="12.75">
      <c r="A36" s="14">
        <v>24</v>
      </c>
      <c r="B36" s="224" t="s">
        <v>854</v>
      </c>
      <c r="C36" s="337">
        <v>596.5772845333332</v>
      </c>
      <c r="D36" s="337">
        <v>396.91633849999994</v>
      </c>
      <c r="E36" s="337">
        <f t="shared" si="2"/>
        <v>993.4936230333332</v>
      </c>
      <c r="F36" s="339">
        <v>-10.405759999999873</v>
      </c>
      <c r="G36" s="337">
        <v>157.95959185393252</v>
      </c>
      <c r="H36" s="337">
        <f t="shared" si="0"/>
        <v>147.55383185393265</v>
      </c>
      <c r="I36" s="339">
        <v>596.577</v>
      </c>
      <c r="J36" s="337">
        <v>396.91805</v>
      </c>
      <c r="K36" s="337">
        <f t="shared" si="1"/>
        <v>993.49505</v>
      </c>
      <c r="L36" s="337">
        <v>613.3899999999999</v>
      </c>
      <c r="M36" s="337">
        <v>414.59999999999997</v>
      </c>
      <c r="N36" s="337">
        <f t="shared" si="3"/>
        <v>1027.9899999999998</v>
      </c>
      <c r="O36" s="337">
        <f t="shared" si="4"/>
        <v>-27.218759999999747</v>
      </c>
      <c r="P36" s="337">
        <f t="shared" si="5"/>
        <v>140.2776418539326</v>
      </c>
      <c r="Q36" s="337">
        <f t="shared" si="6"/>
        <v>113.05888185393292</v>
      </c>
      <c r="R36" s="259">
        <v>35244761</v>
      </c>
      <c r="S36" s="259">
        <v>26070673</v>
      </c>
      <c r="T36" s="12">
        <f t="shared" si="7"/>
        <v>352.44761</v>
      </c>
      <c r="U36" s="12">
        <f t="shared" si="8"/>
        <v>260.70673</v>
      </c>
      <c r="V36" s="259">
        <v>46766200</v>
      </c>
      <c r="W36" s="259">
        <v>34623100</v>
      </c>
      <c r="X36" s="12">
        <f t="shared" si="9"/>
        <v>467.662</v>
      </c>
      <c r="Y36" s="12">
        <f t="shared" si="10"/>
        <v>346.231</v>
      </c>
    </row>
    <row r="37" spans="1:17" s="11" customFormat="1" ht="12.75">
      <c r="A37" s="560" t="s">
        <v>13</v>
      </c>
      <c r="B37" s="561"/>
      <c r="C37" s="243">
        <f>SUM(C13:C36)</f>
        <v>12999.529399670566</v>
      </c>
      <c r="D37" s="243">
        <f aca="true" t="shared" si="11" ref="D37:Q37">SUM(D13:D36)</f>
        <v>8648.880447361464</v>
      </c>
      <c r="E37" s="243">
        <f t="shared" si="11"/>
        <v>21648.40984703203</v>
      </c>
      <c r="F37" s="313">
        <f t="shared" si="11"/>
        <v>-543.1693105800006</v>
      </c>
      <c r="G37" s="243">
        <f t="shared" si="11"/>
        <v>13160.00970089474</v>
      </c>
      <c r="H37" s="243">
        <f t="shared" si="11"/>
        <v>12616.840390314735</v>
      </c>
      <c r="I37" s="243">
        <f t="shared" si="11"/>
        <v>12999.520000000002</v>
      </c>
      <c r="J37" s="243">
        <f t="shared" si="11"/>
        <v>8643.5155</v>
      </c>
      <c r="K37" s="243">
        <f t="shared" si="11"/>
        <v>21643.035499999998</v>
      </c>
      <c r="L37" s="243">
        <f t="shared" si="11"/>
        <v>13207.068439399998</v>
      </c>
      <c r="M37" s="243">
        <f t="shared" si="11"/>
        <v>8553.041603315998</v>
      </c>
      <c r="N37" s="243">
        <f t="shared" si="11"/>
        <v>21760.110042715998</v>
      </c>
      <c r="O37" s="243">
        <f t="shared" si="11"/>
        <v>-750.7177499800001</v>
      </c>
      <c r="P37" s="243">
        <f t="shared" si="11"/>
        <v>13250.483597578737</v>
      </c>
      <c r="Q37" s="243">
        <f t="shared" si="11"/>
        <v>12499.765847598737</v>
      </c>
    </row>
    <row r="38" spans="1:17" ht="12.75">
      <c r="A38" s="9"/>
      <c r="B38" s="24"/>
      <c r="C38" s="24"/>
      <c r="D38" s="24"/>
      <c r="E38" s="17"/>
      <c r="F38" s="17"/>
      <c r="G38" s="17"/>
      <c r="H38" s="17"/>
      <c r="I38" s="17"/>
      <c r="J38" s="17"/>
      <c r="K38" s="17"/>
      <c r="L38" s="17"/>
      <c r="M38" s="17"/>
      <c r="N38" s="17"/>
      <c r="O38" s="17"/>
      <c r="P38" s="17"/>
      <c r="Q38" s="17"/>
    </row>
    <row r="39" spans="1:17" ht="14.25" customHeight="1">
      <c r="A39" s="739" t="s">
        <v>752</v>
      </c>
      <c r="B39" s="739"/>
      <c r="C39" s="739"/>
      <c r="D39" s="739"/>
      <c r="E39" s="739"/>
      <c r="F39" s="739"/>
      <c r="G39" s="739"/>
      <c r="H39" s="739"/>
      <c r="I39" s="739"/>
      <c r="J39" s="739"/>
      <c r="K39" s="739"/>
      <c r="L39" s="739"/>
      <c r="M39" s="739"/>
      <c r="N39" s="739"/>
      <c r="O39" s="739"/>
      <c r="P39" s="739"/>
      <c r="Q39" s="739"/>
    </row>
    <row r="40" spans="1:17" ht="12.75">
      <c r="A40" s="370"/>
      <c r="B40" s="370"/>
      <c r="C40" s="370"/>
      <c r="D40" s="370"/>
      <c r="E40" s="370"/>
      <c r="F40" s="370"/>
      <c r="G40" s="370"/>
      <c r="H40" s="370"/>
      <c r="I40" s="370"/>
      <c r="J40" s="370"/>
      <c r="K40" s="370"/>
      <c r="L40" s="370"/>
      <c r="M40" s="370"/>
      <c r="N40" s="370"/>
      <c r="O40" s="370"/>
      <c r="P40" s="370"/>
      <c r="Q40" s="370"/>
    </row>
    <row r="41" spans="1:17" ht="12.75">
      <c r="A41" s="370"/>
      <c r="B41" s="370"/>
      <c r="C41" s="370"/>
      <c r="D41" s="370"/>
      <c r="E41" s="370"/>
      <c r="F41" s="370"/>
      <c r="G41" s="370"/>
      <c r="H41" s="370"/>
      <c r="I41" s="370"/>
      <c r="J41" s="370"/>
      <c r="K41" s="370"/>
      <c r="L41" s="370"/>
      <c r="M41" s="370"/>
      <c r="N41" s="370"/>
      <c r="O41" s="370"/>
      <c r="P41" s="370"/>
      <c r="Q41" s="370"/>
    </row>
    <row r="42" spans="1:17" ht="12.75">
      <c r="A42" s="28"/>
      <c r="B42" s="35"/>
      <c r="C42" s="35"/>
      <c r="D42" s="35"/>
      <c r="E42" s="35"/>
      <c r="F42" s="35"/>
      <c r="G42" s="35"/>
      <c r="H42" s="35"/>
      <c r="I42" s="341"/>
      <c r="J42" s="35"/>
      <c r="K42" s="35"/>
      <c r="L42" s="35"/>
      <c r="M42" s="35"/>
      <c r="N42" s="35"/>
      <c r="O42" s="35"/>
      <c r="P42" s="35"/>
      <c r="Q42" s="35"/>
    </row>
    <row r="43" spans="1:17" ht="12.75">
      <c r="A43" s="11"/>
      <c r="B43" s="11"/>
      <c r="C43" s="11"/>
      <c r="D43" s="11"/>
      <c r="E43" s="11"/>
      <c r="F43" s="11"/>
      <c r="G43" s="11"/>
      <c r="H43" s="11"/>
      <c r="I43" s="11"/>
      <c r="J43" s="11"/>
      <c r="K43" s="11"/>
      <c r="L43" s="11"/>
      <c r="M43" s="11"/>
      <c r="P43" s="68"/>
      <c r="Q43" s="68"/>
    </row>
    <row r="44" spans="1:17" ht="12.75" customHeight="1">
      <c r="A44" s="559" t="s">
        <v>989</v>
      </c>
      <c r="B44" s="559"/>
      <c r="C44" s="559"/>
      <c r="G44" s="359"/>
      <c r="H44" s="559" t="s">
        <v>990</v>
      </c>
      <c r="I44" s="559"/>
      <c r="K44" s="68"/>
      <c r="L44" s="68"/>
      <c r="M44" s="68"/>
      <c r="N44" s="559" t="s">
        <v>996</v>
      </c>
      <c r="O44" s="559"/>
      <c r="P44" s="559"/>
      <c r="Q44" s="68"/>
    </row>
    <row r="45" spans="1:17" ht="12.75" customHeight="1">
      <c r="A45" s="559" t="s">
        <v>991</v>
      </c>
      <c r="B45" s="559"/>
      <c r="C45" s="559"/>
      <c r="G45" s="359"/>
      <c r="H45" s="559" t="s">
        <v>992</v>
      </c>
      <c r="I45" s="559"/>
      <c r="K45" s="68"/>
      <c r="L45" s="68"/>
      <c r="M45" s="68"/>
      <c r="N45" s="559" t="s">
        <v>993</v>
      </c>
      <c r="O45" s="559"/>
      <c r="P45" s="559"/>
      <c r="Q45" s="68"/>
    </row>
    <row r="46" spans="1:18" ht="12.75">
      <c r="A46" s="559" t="s">
        <v>994</v>
      </c>
      <c r="B46" s="559"/>
      <c r="C46" s="559"/>
      <c r="G46" s="359"/>
      <c r="H46" s="559" t="s">
        <v>995</v>
      </c>
      <c r="I46" s="559"/>
      <c r="K46" s="257"/>
      <c r="L46" s="257"/>
      <c r="M46" s="257"/>
      <c r="N46" s="559" t="s">
        <v>995</v>
      </c>
      <c r="O46" s="559"/>
      <c r="P46" s="559"/>
      <c r="Q46" s="29"/>
      <c r="R46" s="29"/>
    </row>
  </sheetData>
  <sheetProtection/>
  <mergeCells count="24">
    <mergeCell ref="A44:C44"/>
    <mergeCell ref="O10:Q10"/>
    <mergeCell ref="L10:N10"/>
    <mergeCell ref="C10:E10"/>
    <mergeCell ref="F10:H10"/>
    <mergeCell ref="A39:Q39"/>
    <mergeCell ref="A37:B37"/>
    <mergeCell ref="H44:I44"/>
    <mergeCell ref="N44:P44"/>
    <mergeCell ref="A46:C46"/>
    <mergeCell ref="H46:I46"/>
    <mergeCell ref="N46:P46"/>
    <mergeCell ref="A45:C45"/>
    <mergeCell ref="H45:I45"/>
    <mergeCell ref="N45:P45"/>
    <mergeCell ref="P1:Q1"/>
    <mergeCell ref="A2:Q2"/>
    <mergeCell ref="A3:Q3"/>
    <mergeCell ref="N9:Q9"/>
    <mergeCell ref="A6:Q6"/>
    <mergeCell ref="A10:A11"/>
    <mergeCell ref="A8:B8"/>
    <mergeCell ref="B10:B11"/>
    <mergeCell ref="I10:K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AB47"/>
  <sheetViews>
    <sheetView view="pageBreakPreview" zoomScale="70" zoomScaleSheetLayoutView="70" zoomScalePageLayoutView="0" workbookViewId="0" topLeftCell="A1">
      <selection activeCell="P37" sqref="P37"/>
    </sheetView>
  </sheetViews>
  <sheetFormatPr defaultColWidth="9.140625" defaultRowHeight="12.75"/>
  <cols>
    <col min="1" max="1" width="7.421875" style="12" customWidth="1"/>
    <col min="2" max="2" width="17.140625" style="12" customWidth="1"/>
    <col min="3" max="3" width="10.140625" style="12" customWidth="1"/>
    <col min="4" max="5" width="9.57421875" style="12" customWidth="1"/>
    <col min="6" max="6" width="9.421875" style="12" customWidth="1"/>
    <col min="7" max="7" width="9.57421875" style="12" customWidth="1"/>
    <col min="8" max="8" width="10.57421875" style="12" customWidth="1"/>
    <col min="9" max="9" width="10.8515625" style="12" customWidth="1"/>
    <col min="10" max="10" width="10.421875" style="12" customWidth="1"/>
    <col min="11" max="11" width="10.140625" style="12" customWidth="1"/>
    <col min="12" max="14" width="9.57421875" style="12" customWidth="1"/>
    <col min="15" max="15" width="10.28125" style="12" customWidth="1"/>
    <col min="16" max="16" width="10.00390625" style="12" customWidth="1"/>
    <col min="17" max="17" width="10.28125" style="12" customWidth="1"/>
    <col min="18" max="21" width="12.7109375" style="12" bestFit="1" customWidth="1"/>
    <col min="22" max="23" width="11.57421875" style="12" bestFit="1" customWidth="1"/>
    <col min="24" max="24" width="9.140625" style="12" customWidth="1"/>
    <col min="25" max="26" width="12.7109375" style="12" bestFit="1" customWidth="1"/>
    <col min="27" max="28" width="8.8515625" style="12" bestFit="1" customWidth="1"/>
    <col min="29" max="16384" width="9.140625" style="12" customWidth="1"/>
  </cols>
  <sheetData>
    <row r="1" spans="8:21" ht="15">
      <c r="H1" s="29"/>
      <c r="I1" s="29"/>
      <c r="J1" s="29"/>
      <c r="K1" s="29"/>
      <c r="L1" s="29"/>
      <c r="M1" s="29"/>
      <c r="N1" s="29"/>
      <c r="O1" s="29"/>
      <c r="P1" s="681" t="s">
        <v>84</v>
      </c>
      <c r="Q1" s="681"/>
      <c r="R1" s="687"/>
      <c r="T1" s="36"/>
      <c r="U1" s="36"/>
    </row>
    <row r="2" spans="1:21" ht="15">
      <c r="A2" s="684" t="s">
        <v>0</v>
      </c>
      <c r="B2" s="684"/>
      <c r="C2" s="684"/>
      <c r="D2" s="684"/>
      <c r="E2" s="684"/>
      <c r="F2" s="684"/>
      <c r="G2" s="684"/>
      <c r="H2" s="684"/>
      <c r="I2" s="684"/>
      <c r="J2" s="684"/>
      <c r="K2" s="684"/>
      <c r="L2" s="684"/>
      <c r="M2" s="684"/>
      <c r="N2" s="684"/>
      <c r="O2" s="684"/>
      <c r="P2" s="684"/>
      <c r="Q2" s="684"/>
      <c r="R2" s="687"/>
      <c r="S2" s="38"/>
      <c r="T2" s="38"/>
      <c r="U2" s="38"/>
    </row>
    <row r="3" spans="1:21" ht="20.25">
      <c r="A3" s="591" t="s">
        <v>645</v>
      </c>
      <c r="B3" s="591"/>
      <c r="C3" s="591"/>
      <c r="D3" s="591"/>
      <c r="E3" s="591"/>
      <c r="F3" s="591"/>
      <c r="G3" s="591"/>
      <c r="H3" s="591"/>
      <c r="I3" s="591"/>
      <c r="J3" s="591"/>
      <c r="K3" s="591"/>
      <c r="L3" s="591"/>
      <c r="M3" s="591"/>
      <c r="N3" s="591"/>
      <c r="O3" s="591"/>
      <c r="P3" s="591"/>
      <c r="Q3" s="591"/>
      <c r="R3" s="687"/>
      <c r="S3" s="37"/>
      <c r="T3" s="37"/>
      <c r="U3" s="37"/>
    </row>
    <row r="4" ht="10.5" customHeight="1">
      <c r="R4" s="687"/>
    </row>
    <row r="5" spans="1:18" ht="12.75">
      <c r="A5" s="20"/>
      <c r="B5" s="20"/>
      <c r="C5" s="20"/>
      <c r="D5" s="20"/>
      <c r="E5" s="19"/>
      <c r="F5" s="19"/>
      <c r="G5" s="19"/>
      <c r="H5" s="19"/>
      <c r="I5" s="19"/>
      <c r="J5" s="19"/>
      <c r="K5" s="19"/>
      <c r="L5" s="19"/>
      <c r="M5" s="19"/>
      <c r="N5" s="20"/>
      <c r="O5" s="20"/>
      <c r="P5" s="19"/>
      <c r="Q5" s="17"/>
      <c r="R5" s="687"/>
    </row>
    <row r="6" spans="1:18" ht="18" customHeight="1">
      <c r="A6" s="592" t="s">
        <v>754</v>
      </c>
      <c r="B6" s="592"/>
      <c r="C6" s="592"/>
      <c r="D6" s="592"/>
      <c r="E6" s="592"/>
      <c r="F6" s="592"/>
      <c r="G6" s="592"/>
      <c r="H6" s="592"/>
      <c r="I6" s="592"/>
      <c r="J6" s="592"/>
      <c r="K6" s="592"/>
      <c r="L6" s="592"/>
      <c r="M6" s="592"/>
      <c r="N6" s="592"/>
      <c r="O6" s="592"/>
      <c r="P6" s="592"/>
      <c r="Q6" s="592"/>
      <c r="R6" s="687"/>
    </row>
    <row r="7" ht="12.75">
      <c r="R7" s="687"/>
    </row>
    <row r="8" spans="1:18" ht="12.75">
      <c r="A8" s="593" t="s">
        <v>157</v>
      </c>
      <c r="B8" s="593"/>
      <c r="Q8" s="26" t="s">
        <v>16</v>
      </c>
      <c r="R8" s="687"/>
    </row>
    <row r="9" spans="1:19" ht="15.75">
      <c r="A9" s="10"/>
      <c r="N9" s="689" t="s">
        <v>959</v>
      </c>
      <c r="O9" s="689"/>
      <c r="P9" s="689"/>
      <c r="Q9" s="689"/>
      <c r="R9" s="687"/>
      <c r="S9" s="17"/>
    </row>
    <row r="10" spans="1:18" ht="36.75" customHeight="1">
      <c r="A10" s="685" t="s">
        <v>1</v>
      </c>
      <c r="B10" s="685" t="s">
        <v>2</v>
      </c>
      <c r="C10" s="573" t="s">
        <v>672</v>
      </c>
      <c r="D10" s="573"/>
      <c r="E10" s="573"/>
      <c r="F10" s="573" t="s">
        <v>673</v>
      </c>
      <c r="G10" s="573"/>
      <c r="H10" s="573"/>
      <c r="I10" s="735" t="s">
        <v>370</v>
      </c>
      <c r="J10" s="736"/>
      <c r="K10" s="737"/>
      <c r="L10" s="735" t="s">
        <v>85</v>
      </c>
      <c r="M10" s="736"/>
      <c r="N10" s="737"/>
      <c r="O10" s="740" t="s">
        <v>1014</v>
      </c>
      <c r="P10" s="741"/>
      <c r="Q10" s="742"/>
      <c r="R10" s="687"/>
    </row>
    <row r="11" spans="1:17" ht="39.75" customHeight="1">
      <c r="A11" s="686"/>
      <c r="B11" s="686"/>
      <c r="C11" s="5" t="s">
        <v>107</v>
      </c>
      <c r="D11" s="5" t="s">
        <v>749</v>
      </c>
      <c r="E11" s="5" t="s">
        <v>13</v>
      </c>
      <c r="F11" s="5" t="s">
        <v>107</v>
      </c>
      <c r="G11" s="5" t="s">
        <v>750</v>
      </c>
      <c r="H11" s="5" t="s">
        <v>13</v>
      </c>
      <c r="I11" s="5" t="s">
        <v>107</v>
      </c>
      <c r="J11" s="5" t="s">
        <v>750</v>
      </c>
      <c r="K11" s="5" t="s">
        <v>13</v>
      </c>
      <c r="L11" s="5" t="s">
        <v>107</v>
      </c>
      <c r="M11" s="5" t="s">
        <v>750</v>
      </c>
      <c r="N11" s="5" t="s">
        <v>13</v>
      </c>
      <c r="O11" s="5" t="s">
        <v>233</v>
      </c>
      <c r="P11" s="5" t="s">
        <v>751</v>
      </c>
      <c r="Q11" s="5" t="s">
        <v>108</v>
      </c>
    </row>
    <row r="12" spans="1:17" s="61" customFormat="1" ht="12.75">
      <c r="A12" s="59">
        <v>1</v>
      </c>
      <c r="B12" s="59">
        <v>2</v>
      </c>
      <c r="C12" s="59">
        <v>3</v>
      </c>
      <c r="D12" s="59">
        <v>4</v>
      </c>
      <c r="E12" s="59">
        <v>5</v>
      </c>
      <c r="F12" s="59">
        <v>6</v>
      </c>
      <c r="G12" s="59">
        <v>7</v>
      </c>
      <c r="H12" s="59">
        <v>8</v>
      </c>
      <c r="I12" s="59">
        <v>9</v>
      </c>
      <c r="J12" s="59">
        <v>10</v>
      </c>
      <c r="K12" s="59">
        <v>11</v>
      </c>
      <c r="L12" s="59">
        <v>12</v>
      </c>
      <c r="M12" s="59">
        <v>13</v>
      </c>
      <c r="N12" s="59">
        <v>14</v>
      </c>
      <c r="O12" s="59">
        <v>15</v>
      </c>
      <c r="P12" s="59">
        <v>16</v>
      </c>
      <c r="Q12" s="59">
        <v>17</v>
      </c>
    </row>
    <row r="13" spans="1:28" ht="12.75">
      <c r="A13" s="14">
        <v>1</v>
      </c>
      <c r="B13" s="224" t="s">
        <v>831</v>
      </c>
      <c r="C13" s="228">
        <v>568.4503552</v>
      </c>
      <c r="D13" s="228">
        <v>378.45616640000003</v>
      </c>
      <c r="E13" s="228">
        <f>SUM(C13:D13)</f>
        <v>946.9065216</v>
      </c>
      <c r="F13" s="228">
        <v>25.717573560000005</v>
      </c>
      <c r="G13" s="228">
        <v>488.1772439130436</v>
      </c>
      <c r="H13" s="228">
        <f>SUM(F13:G13)</f>
        <v>513.8948174730435</v>
      </c>
      <c r="I13" s="531">
        <v>568.45</v>
      </c>
      <c r="J13" s="531">
        <v>378.45616</v>
      </c>
      <c r="K13" s="228">
        <f>SUM(I13:J13)</f>
        <v>946.90616</v>
      </c>
      <c r="L13" s="228">
        <v>523.91835642</v>
      </c>
      <c r="M13" s="228">
        <v>349.29060164</v>
      </c>
      <c r="N13" s="228">
        <f>SUM(L13:M13)</f>
        <v>873.20895806</v>
      </c>
      <c r="O13" s="228">
        <f>F13+I13-L13</f>
        <v>70.24921714000004</v>
      </c>
      <c r="P13" s="228">
        <f>G13+J13-M13</f>
        <v>517.3428022730436</v>
      </c>
      <c r="Q13" s="228">
        <f>H13+K13-N13</f>
        <v>587.5920194130435</v>
      </c>
      <c r="R13" s="259">
        <v>21740000</v>
      </c>
      <c r="S13" s="259">
        <v>14437000</v>
      </c>
      <c r="T13" s="259">
        <v>29174000</v>
      </c>
      <c r="U13" s="259">
        <v>19790000</v>
      </c>
      <c r="V13" s="259">
        <v>2736300</v>
      </c>
      <c r="W13" s="259">
        <v>1856300</v>
      </c>
      <c r="Y13" s="259">
        <f>R13+T13+V13</f>
        <v>53650300</v>
      </c>
      <c r="Z13" s="259">
        <f>S13+U13+W13</f>
        <v>36083300</v>
      </c>
      <c r="AA13" s="12">
        <f>Y13/100000</f>
        <v>536.503</v>
      </c>
      <c r="AB13" s="12">
        <f>Z13/100000</f>
        <v>360.833</v>
      </c>
    </row>
    <row r="14" spans="1:28" ht="12.75">
      <c r="A14" s="14">
        <v>2</v>
      </c>
      <c r="B14" s="224" t="s">
        <v>832</v>
      </c>
      <c r="C14" s="228">
        <v>178.14689715789476</v>
      </c>
      <c r="D14" s="228">
        <v>118.604538</v>
      </c>
      <c r="E14" s="228">
        <f aca="true" t="shared" si="0" ref="E14:E36">SUM(C14:D14)</f>
        <v>296.7514351578948</v>
      </c>
      <c r="F14" s="228">
        <v>10.117754500000046</v>
      </c>
      <c r="G14" s="228">
        <v>99.78614410326088</v>
      </c>
      <c r="H14" s="228">
        <f aca="true" t="shared" si="1" ref="H14:H36">SUM(F14:G14)</f>
        <v>109.90389860326093</v>
      </c>
      <c r="I14" s="531">
        <v>178.147</v>
      </c>
      <c r="J14" s="531">
        <v>118.60618</v>
      </c>
      <c r="K14" s="228">
        <f aca="true" t="shared" si="2" ref="K14:K36">SUM(I14:J14)</f>
        <v>296.75318</v>
      </c>
      <c r="L14" s="228">
        <v>154.30900000000003</v>
      </c>
      <c r="M14" s="228">
        <v>102.739</v>
      </c>
      <c r="N14" s="228">
        <f aca="true" t="shared" si="3" ref="N14:N36">SUM(L14:M14)</f>
        <v>257.048</v>
      </c>
      <c r="O14" s="228">
        <f aca="true" t="shared" si="4" ref="O14:O36">F14+I14-L14</f>
        <v>33.95575450000001</v>
      </c>
      <c r="P14" s="228">
        <f aca="true" t="shared" si="5" ref="P14:P36">G14+J14-M14</f>
        <v>115.65332410326087</v>
      </c>
      <c r="Q14" s="228">
        <f aca="true" t="shared" si="6" ref="Q14:Q36">H14+K14-N14</f>
        <v>149.6090786032609</v>
      </c>
      <c r="R14" s="259">
        <v>7496000</v>
      </c>
      <c r="S14" s="259">
        <v>4141000</v>
      </c>
      <c r="T14" s="259">
        <v>9940000</v>
      </c>
      <c r="U14" s="259">
        <v>6381000</v>
      </c>
      <c r="V14" s="259">
        <v>932300</v>
      </c>
      <c r="W14" s="259">
        <v>598500</v>
      </c>
      <c r="Y14" s="259">
        <f aca="true" t="shared" si="7" ref="Y14:Y36">R14+T14+V14</f>
        <v>18368300</v>
      </c>
      <c r="Z14" s="259">
        <f aca="true" t="shared" si="8" ref="Z14:Z36">S14+U14+W14</f>
        <v>11120500</v>
      </c>
      <c r="AA14" s="12">
        <f aca="true" t="shared" si="9" ref="AA14:AA36">Y14/100000</f>
        <v>183.683</v>
      </c>
      <c r="AB14" s="12">
        <f aca="true" t="shared" si="10" ref="AB14:AB36">Z14/100000</f>
        <v>111.205</v>
      </c>
    </row>
    <row r="15" spans="1:28" ht="12.75">
      <c r="A15" s="14">
        <v>3</v>
      </c>
      <c r="B15" s="224" t="s">
        <v>833</v>
      </c>
      <c r="C15" s="228">
        <v>154.05591783076923</v>
      </c>
      <c r="D15" s="228">
        <v>102.56553020000001</v>
      </c>
      <c r="E15" s="228">
        <f t="shared" si="0"/>
        <v>256.6214480307692</v>
      </c>
      <c r="F15" s="228">
        <v>9.088231920000027</v>
      </c>
      <c r="G15" s="228">
        <v>127.76153283783783</v>
      </c>
      <c r="H15" s="228">
        <f t="shared" si="1"/>
        <v>136.84976475783787</v>
      </c>
      <c r="I15" s="531">
        <v>154.056</v>
      </c>
      <c r="J15" s="531">
        <v>102.56408</v>
      </c>
      <c r="K15" s="228">
        <f t="shared" si="2"/>
        <v>256.62008000000003</v>
      </c>
      <c r="L15" s="228">
        <v>128.932</v>
      </c>
      <c r="M15" s="228">
        <v>85.83699999999999</v>
      </c>
      <c r="N15" s="228">
        <f t="shared" si="3"/>
        <v>214.76899999999998</v>
      </c>
      <c r="O15" s="228">
        <f t="shared" si="4"/>
        <v>34.21223192000005</v>
      </c>
      <c r="P15" s="228">
        <f t="shared" si="5"/>
        <v>144.48861283783785</v>
      </c>
      <c r="Q15" s="228">
        <f t="shared" si="6"/>
        <v>178.70084475783793</v>
      </c>
      <c r="R15" s="259">
        <v>5940000</v>
      </c>
      <c r="S15" s="259">
        <v>3543000</v>
      </c>
      <c r="T15" s="259">
        <v>6941000</v>
      </c>
      <c r="U15" s="259">
        <v>5536000</v>
      </c>
      <c r="V15" s="259">
        <v>651000</v>
      </c>
      <c r="W15" s="259">
        <v>519200</v>
      </c>
      <c r="Y15" s="259">
        <f t="shared" si="7"/>
        <v>13532000</v>
      </c>
      <c r="Z15" s="259">
        <f t="shared" si="8"/>
        <v>9598200</v>
      </c>
      <c r="AA15" s="12">
        <f t="shared" si="9"/>
        <v>135.32</v>
      </c>
      <c r="AB15" s="12">
        <f t="shared" si="10"/>
        <v>95.982</v>
      </c>
    </row>
    <row r="16" spans="1:28" ht="12.75">
      <c r="A16" s="14">
        <v>4</v>
      </c>
      <c r="B16" s="224" t="s">
        <v>834</v>
      </c>
      <c r="C16" s="228">
        <v>347.0591103</v>
      </c>
      <c r="D16" s="228">
        <v>231.0609171</v>
      </c>
      <c r="E16" s="228">
        <f t="shared" si="0"/>
        <v>578.1200274</v>
      </c>
      <c r="F16" s="228">
        <v>44.30475347999999</v>
      </c>
      <c r="G16" s="228">
        <v>209.7597339037433</v>
      </c>
      <c r="H16" s="228">
        <f t="shared" si="1"/>
        <v>254.06448738374328</v>
      </c>
      <c r="I16" s="531">
        <v>347.059</v>
      </c>
      <c r="J16" s="531">
        <v>231.06405</v>
      </c>
      <c r="K16" s="228">
        <f t="shared" si="2"/>
        <v>578.12305</v>
      </c>
      <c r="L16" s="228">
        <v>347.79999999999995</v>
      </c>
      <c r="M16" s="228">
        <v>219.61999999999998</v>
      </c>
      <c r="N16" s="228">
        <f t="shared" si="3"/>
        <v>567.42</v>
      </c>
      <c r="O16" s="228">
        <f t="shared" si="4"/>
        <v>43.56375348000006</v>
      </c>
      <c r="P16" s="228">
        <f t="shared" si="5"/>
        <v>221.20378390374336</v>
      </c>
      <c r="Q16" s="228">
        <f t="shared" si="6"/>
        <v>264.7675373837434</v>
      </c>
      <c r="R16" s="259">
        <v>15658000</v>
      </c>
      <c r="S16" s="259">
        <v>9322000</v>
      </c>
      <c r="T16" s="259">
        <v>21437000</v>
      </c>
      <c r="U16" s="259">
        <v>11846000</v>
      </c>
      <c r="V16" s="259">
        <v>2010600</v>
      </c>
      <c r="W16" s="259">
        <v>1111100</v>
      </c>
      <c r="Y16" s="259">
        <f t="shared" si="7"/>
        <v>39105600</v>
      </c>
      <c r="Z16" s="259">
        <f t="shared" si="8"/>
        <v>22279100</v>
      </c>
      <c r="AA16" s="12">
        <f t="shared" si="9"/>
        <v>391.056</v>
      </c>
      <c r="AB16" s="12">
        <f t="shared" si="10"/>
        <v>222.791</v>
      </c>
    </row>
    <row r="17" spans="1:28" ht="12.75">
      <c r="A17" s="14">
        <v>5</v>
      </c>
      <c r="B17" s="224" t="s">
        <v>835</v>
      </c>
      <c r="C17" s="228">
        <v>206.5451038</v>
      </c>
      <c r="D17" s="228">
        <v>137.5111607509434</v>
      </c>
      <c r="E17" s="228">
        <f t="shared" si="0"/>
        <v>344.0562645509434</v>
      </c>
      <c r="F17" s="228">
        <v>3.7319989200000236</v>
      </c>
      <c r="G17" s="228">
        <v>14.456183011049731</v>
      </c>
      <c r="H17" s="228">
        <f t="shared" si="1"/>
        <v>18.188181931049755</v>
      </c>
      <c r="I17" s="531">
        <v>206.545</v>
      </c>
      <c r="J17" s="531">
        <v>137.50914</v>
      </c>
      <c r="K17" s="228">
        <f t="shared" si="2"/>
        <v>344.05413999999996</v>
      </c>
      <c r="L17" s="228">
        <v>181.312</v>
      </c>
      <c r="M17" s="228">
        <v>120.86600000000001</v>
      </c>
      <c r="N17" s="228">
        <f t="shared" si="3"/>
        <v>302.178</v>
      </c>
      <c r="O17" s="228">
        <f t="shared" si="4"/>
        <v>28.96499892</v>
      </c>
      <c r="P17" s="228">
        <f t="shared" si="5"/>
        <v>31.099323011049734</v>
      </c>
      <c r="Q17" s="228">
        <f t="shared" si="6"/>
        <v>60.06432193104973</v>
      </c>
      <c r="R17" s="259">
        <v>8747000</v>
      </c>
      <c r="S17" s="259">
        <v>5027000</v>
      </c>
      <c r="T17" s="259">
        <v>10291000</v>
      </c>
      <c r="U17" s="259">
        <v>7293000</v>
      </c>
      <c r="V17" s="259">
        <v>965200</v>
      </c>
      <c r="W17" s="259">
        <v>684000</v>
      </c>
      <c r="Y17" s="259">
        <f t="shared" si="7"/>
        <v>20003200</v>
      </c>
      <c r="Z17" s="259">
        <f t="shared" si="8"/>
        <v>13004000</v>
      </c>
      <c r="AA17" s="12">
        <f t="shared" si="9"/>
        <v>200.032</v>
      </c>
      <c r="AB17" s="12">
        <f t="shared" si="10"/>
        <v>130.04</v>
      </c>
    </row>
    <row r="18" spans="1:28" ht="12.75">
      <c r="A18" s="14">
        <v>6</v>
      </c>
      <c r="B18" s="224" t="s">
        <v>836</v>
      </c>
      <c r="C18" s="228">
        <v>424.92357718461534</v>
      </c>
      <c r="D18" s="228">
        <v>282.9006026</v>
      </c>
      <c r="E18" s="228">
        <f t="shared" si="0"/>
        <v>707.8241797846154</v>
      </c>
      <c r="F18" s="228">
        <v>-46.59196965999996</v>
      </c>
      <c r="G18" s="228">
        <v>299.1393336405406</v>
      </c>
      <c r="H18" s="228">
        <f t="shared" si="1"/>
        <v>252.54736398054064</v>
      </c>
      <c r="I18" s="531">
        <v>424.925</v>
      </c>
      <c r="J18" s="531">
        <v>278.54964</v>
      </c>
      <c r="K18" s="228">
        <f t="shared" si="2"/>
        <v>703.47464</v>
      </c>
      <c r="L18" s="228">
        <v>482.70336999999995</v>
      </c>
      <c r="M18" s="228">
        <v>192.41348000000005</v>
      </c>
      <c r="N18" s="228">
        <f t="shared" si="3"/>
        <v>675.11685</v>
      </c>
      <c r="O18" s="228">
        <f t="shared" si="4"/>
        <v>-104.3703396599999</v>
      </c>
      <c r="P18" s="228">
        <f t="shared" si="5"/>
        <v>385.2754936405405</v>
      </c>
      <c r="Q18" s="228">
        <f t="shared" si="6"/>
        <v>280.9051539805406</v>
      </c>
      <c r="R18" s="259">
        <v>13121000</v>
      </c>
      <c r="S18" s="259">
        <v>11123000</v>
      </c>
      <c r="T18" s="259">
        <v>18075000</v>
      </c>
      <c r="U18" s="259">
        <v>14639000</v>
      </c>
      <c r="V18" s="259">
        <v>1695300</v>
      </c>
      <c r="W18" s="259">
        <v>1373100</v>
      </c>
      <c r="Y18" s="259">
        <f t="shared" si="7"/>
        <v>32891300</v>
      </c>
      <c r="Z18" s="259">
        <f t="shared" si="8"/>
        <v>27135100</v>
      </c>
      <c r="AA18" s="12">
        <f t="shared" si="9"/>
        <v>328.913</v>
      </c>
      <c r="AB18" s="12">
        <f t="shared" si="10"/>
        <v>271.351</v>
      </c>
    </row>
    <row r="19" spans="1:28" ht="12.75">
      <c r="A19" s="14">
        <v>7</v>
      </c>
      <c r="B19" s="224" t="s">
        <v>837</v>
      </c>
      <c r="C19" s="228">
        <v>349.8860414</v>
      </c>
      <c r="D19" s="228">
        <v>232.94299791320756</v>
      </c>
      <c r="E19" s="228">
        <f t="shared" si="0"/>
        <v>582.8290393132075</v>
      </c>
      <c r="F19" s="228">
        <v>-1.1273569199998406</v>
      </c>
      <c r="G19" s="228">
        <v>118.07889202127663</v>
      </c>
      <c r="H19" s="228">
        <f t="shared" si="1"/>
        <v>116.95153510127679</v>
      </c>
      <c r="I19" s="531">
        <v>349.886</v>
      </c>
      <c r="J19" s="531">
        <v>232.93992</v>
      </c>
      <c r="K19" s="228">
        <f t="shared" si="2"/>
        <v>582.82592</v>
      </c>
      <c r="L19" s="228">
        <v>343.46000000000004</v>
      </c>
      <c r="M19" s="228">
        <v>228.97000000000003</v>
      </c>
      <c r="N19" s="228">
        <f t="shared" si="3"/>
        <v>572.4300000000001</v>
      </c>
      <c r="O19" s="228">
        <f t="shared" si="4"/>
        <v>5.298643080000147</v>
      </c>
      <c r="P19" s="228">
        <f t="shared" si="5"/>
        <v>122.0488120212766</v>
      </c>
      <c r="Q19" s="228">
        <f t="shared" si="6"/>
        <v>127.34745510127675</v>
      </c>
      <c r="R19" s="259">
        <v>8656000</v>
      </c>
      <c r="S19" s="259">
        <v>7256000</v>
      </c>
      <c r="T19" s="259">
        <v>12399000</v>
      </c>
      <c r="U19" s="259">
        <v>12942000</v>
      </c>
      <c r="V19" s="259">
        <v>1162900</v>
      </c>
      <c r="W19" s="259">
        <v>1213900</v>
      </c>
      <c r="Y19" s="259">
        <f t="shared" si="7"/>
        <v>22217900</v>
      </c>
      <c r="Z19" s="259">
        <f t="shared" si="8"/>
        <v>21411900</v>
      </c>
      <c r="AA19" s="12">
        <f t="shared" si="9"/>
        <v>222.179</v>
      </c>
      <c r="AB19" s="12">
        <f t="shared" si="10"/>
        <v>214.119</v>
      </c>
    </row>
    <row r="20" spans="1:28" ht="12.75">
      <c r="A20" s="14">
        <v>8</v>
      </c>
      <c r="B20" s="224" t="s">
        <v>838</v>
      </c>
      <c r="C20" s="228">
        <v>499.6100131521739</v>
      </c>
      <c r="D20" s="228">
        <v>332.62445619565216</v>
      </c>
      <c r="E20" s="228">
        <f t="shared" si="0"/>
        <v>832.234469347826</v>
      </c>
      <c r="F20" s="228">
        <v>11.357279880000021</v>
      </c>
      <c r="G20" s="228">
        <v>318.575819790576</v>
      </c>
      <c r="H20" s="228">
        <f t="shared" si="1"/>
        <v>329.93309967057604</v>
      </c>
      <c r="I20" s="531">
        <v>499.61</v>
      </c>
      <c r="J20" s="531">
        <v>332.62336</v>
      </c>
      <c r="K20" s="228">
        <f t="shared" si="2"/>
        <v>832.23336</v>
      </c>
      <c r="L20" s="228">
        <v>439.26</v>
      </c>
      <c r="M20" s="228">
        <v>292.45000000000005</v>
      </c>
      <c r="N20" s="228">
        <f t="shared" si="3"/>
        <v>731.71</v>
      </c>
      <c r="O20" s="228">
        <f t="shared" si="4"/>
        <v>71.70727988000004</v>
      </c>
      <c r="P20" s="228">
        <f t="shared" si="5"/>
        <v>358.7491797905759</v>
      </c>
      <c r="Q20" s="228">
        <f t="shared" si="6"/>
        <v>430.4564596705759</v>
      </c>
      <c r="R20" s="259">
        <v>15589000</v>
      </c>
      <c r="S20" s="259">
        <v>11878000</v>
      </c>
      <c r="T20" s="259">
        <v>31190000</v>
      </c>
      <c r="U20" s="259">
        <v>17772000</v>
      </c>
      <c r="V20" s="259">
        <v>2925400</v>
      </c>
      <c r="W20" s="259">
        <v>1666900</v>
      </c>
      <c r="Y20" s="259">
        <f t="shared" si="7"/>
        <v>49704400</v>
      </c>
      <c r="Z20" s="259">
        <f t="shared" si="8"/>
        <v>31316900</v>
      </c>
      <c r="AA20" s="12">
        <f t="shared" si="9"/>
        <v>497.044</v>
      </c>
      <c r="AB20" s="12">
        <f t="shared" si="10"/>
        <v>313.169</v>
      </c>
    </row>
    <row r="21" spans="1:28" ht="12.75">
      <c r="A21" s="14">
        <v>9</v>
      </c>
      <c r="B21" s="224" t="s">
        <v>839</v>
      </c>
      <c r="C21" s="228">
        <v>701.7177307686276</v>
      </c>
      <c r="D21" s="228">
        <v>467.1813463607844</v>
      </c>
      <c r="E21" s="228">
        <f t="shared" si="0"/>
        <v>1168.899077129412</v>
      </c>
      <c r="F21" s="228">
        <v>28.84600363999982</v>
      </c>
      <c r="G21" s="228">
        <v>437.59577671351366</v>
      </c>
      <c r="H21" s="228">
        <f t="shared" si="1"/>
        <v>466.4417803535135</v>
      </c>
      <c r="I21" s="531">
        <v>701.718</v>
      </c>
      <c r="J21" s="531">
        <v>467.17851</v>
      </c>
      <c r="K21" s="228">
        <f t="shared" si="2"/>
        <v>1168.89651</v>
      </c>
      <c r="L21" s="228">
        <v>747.2</v>
      </c>
      <c r="M21" s="228">
        <v>497.48</v>
      </c>
      <c r="N21" s="228">
        <f t="shared" si="3"/>
        <v>1244.68</v>
      </c>
      <c r="O21" s="228">
        <f t="shared" si="4"/>
        <v>-16.635996360000263</v>
      </c>
      <c r="P21" s="228">
        <f t="shared" si="5"/>
        <v>407.29428671351366</v>
      </c>
      <c r="Q21" s="228">
        <f t="shared" si="6"/>
        <v>390.6582903535134</v>
      </c>
      <c r="R21" s="259">
        <v>25542000</v>
      </c>
      <c r="S21" s="259">
        <v>17205000</v>
      </c>
      <c r="T21" s="259">
        <v>37825000</v>
      </c>
      <c r="U21" s="259">
        <v>24718000</v>
      </c>
      <c r="V21" s="259">
        <v>3547800</v>
      </c>
      <c r="W21" s="259">
        <v>2318400</v>
      </c>
      <c r="Y21" s="259">
        <f t="shared" si="7"/>
        <v>66914800</v>
      </c>
      <c r="Z21" s="259">
        <f t="shared" si="8"/>
        <v>44241400</v>
      </c>
      <c r="AA21" s="12">
        <f t="shared" si="9"/>
        <v>669.148</v>
      </c>
      <c r="AB21" s="12">
        <f t="shared" si="10"/>
        <v>442.414</v>
      </c>
    </row>
    <row r="22" spans="1:28" ht="12.75">
      <c r="A22" s="14">
        <v>10</v>
      </c>
      <c r="B22" s="224" t="s">
        <v>840</v>
      </c>
      <c r="C22" s="228">
        <v>243.10237311428574</v>
      </c>
      <c r="D22" s="228">
        <v>161.849827922449</v>
      </c>
      <c r="E22" s="228">
        <f t="shared" si="0"/>
        <v>404.9522010367348</v>
      </c>
      <c r="F22" s="228">
        <v>16.619061399999964</v>
      </c>
      <c r="G22" s="228">
        <v>153.55632222222226</v>
      </c>
      <c r="H22" s="228">
        <f t="shared" si="1"/>
        <v>170.17538362222223</v>
      </c>
      <c r="I22" s="531">
        <v>243.103</v>
      </c>
      <c r="J22" s="531">
        <v>161.85149</v>
      </c>
      <c r="K22" s="228">
        <f t="shared" si="2"/>
        <v>404.95449</v>
      </c>
      <c r="L22" s="228">
        <v>247.16000000000003</v>
      </c>
      <c r="M22" s="228">
        <v>164.61</v>
      </c>
      <c r="N22" s="228">
        <f t="shared" si="3"/>
        <v>411.77000000000004</v>
      </c>
      <c r="O22" s="228">
        <f t="shared" si="4"/>
        <v>12.562061399999948</v>
      </c>
      <c r="P22" s="228">
        <f t="shared" si="5"/>
        <v>150.79781222222226</v>
      </c>
      <c r="Q22" s="228">
        <f t="shared" si="6"/>
        <v>163.3598736222222</v>
      </c>
      <c r="R22" s="259">
        <v>10965000</v>
      </c>
      <c r="S22" s="259">
        <v>6730000</v>
      </c>
      <c r="T22" s="259">
        <v>11557000</v>
      </c>
      <c r="U22" s="259">
        <v>8204000</v>
      </c>
      <c r="V22" s="259">
        <v>1084000</v>
      </c>
      <c r="W22" s="259">
        <v>769500</v>
      </c>
      <c r="Y22" s="259">
        <f t="shared" si="7"/>
        <v>23606000</v>
      </c>
      <c r="Z22" s="259">
        <f t="shared" si="8"/>
        <v>15703500</v>
      </c>
      <c r="AA22" s="12">
        <f t="shared" si="9"/>
        <v>236.06</v>
      </c>
      <c r="AB22" s="12">
        <f t="shared" si="10"/>
        <v>157.035</v>
      </c>
    </row>
    <row r="23" spans="1:28" ht="12.75">
      <c r="A23" s="14">
        <v>11</v>
      </c>
      <c r="B23" s="224" t="s">
        <v>841</v>
      </c>
      <c r="C23" s="228">
        <v>350.826651</v>
      </c>
      <c r="D23" s="228">
        <v>233.5692258679246</v>
      </c>
      <c r="E23" s="228">
        <f t="shared" si="0"/>
        <v>584.3958768679246</v>
      </c>
      <c r="F23" s="228">
        <v>74.54506964000001</v>
      </c>
      <c r="G23" s="228">
        <v>484.54077443548397</v>
      </c>
      <c r="H23" s="228">
        <f t="shared" si="1"/>
        <v>559.0858440754839</v>
      </c>
      <c r="I23" s="531">
        <v>350.827</v>
      </c>
      <c r="J23" s="531">
        <v>233.56863</v>
      </c>
      <c r="K23" s="228">
        <f t="shared" si="2"/>
        <v>584.39563</v>
      </c>
      <c r="L23" s="228">
        <v>355.73585</v>
      </c>
      <c r="M23" s="228">
        <v>242.332</v>
      </c>
      <c r="N23" s="228">
        <f t="shared" si="3"/>
        <v>598.06785</v>
      </c>
      <c r="O23" s="228">
        <f t="shared" si="4"/>
        <v>69.63621963999998</v>
      </c>
      <c r="P23" s="228">
        <f t="shared" si="5"/>
        <v>475.77740443548396</v>
      </c>
      <c r="Q23" s="228">
        <f t="shared" si="6"/>
        <v>545.4136240754839</v>
      </c>
      <c r="R23" s="259">
        <v>14201000</v>
      </c>
      <c r="S23" s="259">
        <v>9547000</v>
      </c>
      <c r="T23" s="259">
        <v>17808000</v>
      </c>
      <c r="U23" s="259">
        <v>11917000</v>
      </c>
      <c r="V23" s="259">
        <v>1670200</v>
      </c>
      <c r="W23" s="259">
        <v>1117700</v>
      </c>
      <c r="Y23" s="259">
        <f t="shared" si="7"/>
        <v>33679200</v>
      </c>
      <c r="Z23" s="259">
        <f t="shared" si="8"/>
        <v>22581700</v>
      </c>
      <c r="AA23" s="12">
        <f t="shared" si="9"/>
        <v>336.792</v>
      </c>
      <c r="AB23" s="12">
        <f t="shared" si="10"/>
        <v>225.817</v>
      </c>
    </row>
    <row r="24" spans="1:28" ht="12.75">
      <c r="A24" s="14">
        <v>12</v>
      </c>
      <c r="B24" s="224" t="s">
        <v>842</v>
      </c>
      <c r="C24" s="228">
        <v>449.55968283333334</v>
      </c>
      <c r="D24" s="228">
        <v>299.3025381666667</v>
      </c>
      <c r="E24" s="228">
        <f t="shared" si="0"/>
        <v>748.8622210000001</v>
      </c>
      <c r="F24" s="228">
        <v>25.486324599999932</v>
      </c>
      <c r="G24" s="228">
        <v>431.8144483783783</v>
      </c>
      <c r="H24" s="228">
        <f t="shared" si="1"/>
        <v>457.30077297837823</v>
      </c>
      <c r="I24" s="531">
        <v>449.56</v>
      </c>
      <c r="J24" s="531">
        <v>299.30044</v>
      </c>
      <c r="K24" s="228">
        <f t="shared" si="2"/>
        <v>748.8604399999999</v>
      </c>
      <c r="L24" s="228">
        <v>394.8866</v>
      </c>
      <c r="M24" s="228">
        <v>263.26219</v>
      </c>
      <c r="N24" s="228">
        <f t="shared" si="3"/>
        <v>658.14879</v>
      </c>
      <c r="O24" s="228">
        <f t="shared" si="4"/>
        <v>80.15972459999995</v>
      </c>
      <c r="P24" s="228">
        <f t="shared" si="5"/>
        <v>467.8526983783783</v>
      </c>
      <c r="Q24" s="228">
        <f t="shared" si="6"/>
        <v>548.0124229783783</v>
      </c>
      <c r="R24" s="259">
        <v>18023000</v>
      </c>
      <c r="S24" s="259">
        <v>13502000</v>
      </c>
      <c r="T24" s="259">
        <v>19702000</v>
      </c>
      <c r="U24" s="259">
        <v>14678000</v>
      </c>
      <c r="V24" s="259">
        <v>1847900</v>
      </c>
      <c r="W24" s="259">
        <v>1376800</v>
      </c>
      <c r="Y24" s="259">
        <f t="shared" si="7"/>
        <v>39572900</v>
      </c>
      <c r="Z24" s="259">
        <f t="shared" si="8"/>
        <v>29556800</v>
      </c>
      <c r="AA24" s="12">
        <f t="shared" si="9"/>
        <v>395.729</v>
      </c>
      <c r="AB24" s="12">
        <f t="shared" si="10"/>
        <v>295.568</v>
      </c>
    </row>
    <row r="25" spans="1:28" ht="12.75">
      <c r="A25" s="14">
        <v>13</v>
      </c>
      <c r="B25" s="224" t="s">
        <v>843</v>
      </c>
      <c r="C25" s="228">
        <v>219.8761922</v>
      </c>
      <c r="D25" s="228">
        <v>146.3865754</v>
      </c>
      <c r="E25" s="228">
        <f t="shared" si="0"/>
        <v>366.26276759999996</v>
      </c>
      <c r="F25" s="228">
        <v>12.757552359999863</v>
      </c>
      <c r="G25" s="228">
        <v>302.6549866935485</v>
      </c>
      <c r="H25" s="228">
        <f t="shared" si="1"/>
        <v>315.41253905354836</v>
      </c>
      <c r="I25" s="531">
        <v>219.876</v>
      </c>
      <c r="J25" s="531">
        <v>146.38657</v>
      </c>
      <c r="K25" s="228">
        <f t="shared" si="2"/>
        <v>366.26257</v>
      </c>
      <c r="L25" s="228">
        <v>198.08</v>
      </c>
      <c r="M25" s="228">
        <v>132.06</v>
      </c>
      <c r="N25" s="228">
        <f t="shared" si="3"/>
        <v>330.14</v>
      </c>
      <c r="O25" s="228">
        <f t="shared" si="4"/>
        <v>34.553552359999856</v>
      </c>
      <c r="P25" s="228">
        <f t="shared" si="5"/>
        <v>316.9815566935485</v>
      </c>
      <c r="Q25" s="228">
        <f t="shared" si="6"/>
        <v>351.53510905354835</v>
      </c>
      <c r="R25" s="259">
        <v>7578000</v>
      </c>
      <c r="S25" s="259">
        <v>6095000</v>
      </c>
      <c r="T25" s="259">
        <v>8094000</v>
      </c>
      <c r="U25" s="259">
        <v>7417000</v>
      </c>
      <c r="V25" s="259">
        <v>759200</v>
      </c>
      <c r="W25" s="259">
        <v>695600</v>
      </c>
      <c r="Y25" s="259">
        <f t="shared" si="7"/>
        <v>16431200</v>
      </c>
      <c r="Z25" s="259">
        <f t="shared" si="8"/>
        <v>14207600</v>
      </c>
      <c r="AA25" s="12">
        <f t="shared" si="9"/>
        <v>164.312</v>
      </c>
      <c r="AB25" s="12">
        <f t="shared" si="10"/>
        <v>142.076</v>
      </c>
    </row>
    <row r="26" spans="1:28" ht="12.75">
      <c r="A26" s="14">
        <v>14</v>
      </c>
      <c r="B26" s="224" t="s">
        <v>844</v>
      </c>
      <c r="C26" s="228">
        <v>224.736533</v>
      </c>
      <c r="D26" s="228">
        <v>149.62243571698113</v>
      </c>
      <c r="E26" s="228">
        <f t="shared" si="0"/>
        <v>374.35896871698117</v>
      </c>
      <c r="F26" s="228">
        <v>16.920912759999965</v>
      </c>
      <c r="G26" s="228">
        <v>172.7946423387097</v>
      </c>
      <c r="H26" s="228">
        <f t="shared" si="1"/>
        <v>189.71555509870967</v>
      </c>
      <c r="I26" s="531">
        <v>224.737</v>
      </c>
      <c r="J26" s="531">
        <v>149.62385</v>
      </c>
      <c r="K26" s="228">
        <f t="shared" si="2"/>
        <v>374.36085</v>
      </c>
      <c r="L26" s="228">
        <v>203.70836</v>
      </c>
      <c r="M26" s="228">
        <v>135.6215</v>
      </c>
      <c r="N26" s="228">
        <f t="shared" si="3"/>
        <v>339.32986</v>
      </c>
      <c r="O26" s="228">
        <f t="shared" si="4"/>
        <v>37.94955275999996</v>
      </c>
      <c r="P26" s="228">
        <f t="shared" si="5"/>
        <v>186.7969923387097</v>
      </c>
      <c r="Q26" s="228">
        <f t="shared" si="6"/>
        <v>224.74654509870976</v>
      </c>
      <c r="R26" s="259">
        <v>8906000</v>
      </c>
      <c r="S26" s="259">
        <v>5679000</v>
      </c>
      <c r="T26" s="259">
        <v>10075000</v>
      </c>
      <c r="U26" s="259">
        <v>7837000</v>
      </c>
      <c r="V26" s="259">
        <v>945000</v>
      </c>
      <c r="W26" s="259">
        <v>735200</v>
      </c>
      <c r="Y26" s="259">
        <f t="shared" si="7"/>
        <v>19926000</v>
      </c>
      <c r="Z26" s="259">
        <f t="shared" si="8"/>
        <v>14251200</v>
      </c>
      <c r="AA26" s="12">
        <f t="shared" si="9"/>
        <v>199.26</v>
      </c>
      <c r="AB26" s="12">
        <f t="shared" si="10"/>
        <v>142.512</v>
      </c>
    </row>
    <row r="27" spans="1:28" ht="12.75">
      <c r="A27" s="14">
        <v>15</v>
      </c>
      <c r="B27" s="224" t="s">
        <v>845</v>
      </c>
      <c r="C27" s="228">
        <v>414.32313464347834</v>
      </c>
      <c r="D27" s="228">
        <v>275.84316511304354</v>
      </c>
      <c r="E27" s="228">
        <f t="shared" si="0"/>
        <v>690.1662997565219</v>
      </c>
      <c r="F27" s="228">
        <v>16.057311440000035</v>
      </c>
      <c r="G27" s="228">
        <v>227.11856666666662</v>
      </c>
      <c r="H27" s="228">
        <f t="shared" si="1"/>
        <v>243.17587810666666</v>
      </c>
      <c r="I27" s="531">
        <v>414.324</v>
      </c>
      <c r="J27" s="531">
        <v>275.84016</v>
      </c>
      <c r="K27" s="228">
        <f t="shared" si="2"/>
        <v>690.16416</v>
      </c>
      <c r="L27" s="228">
        <v>379.48</v>
      </c>
      <c r="M27" s="228">
        <v>252.81</v>
      </c>
      <c r="N27" s="228">
        <f t="shared" si="3"/>
        <v>632.29</v>
      </c>
      <c r="O27" s="228">
        <f t="shared" si="4"/>
        <v>50.90131144000003</v>
      </c>
      <c r="P27" s="228">
        <f t="shared" si="5"/>
        <v>250.14872666666662</v>
      </c>
      <c r="Q27" s="228">
        <f t="shared" si="6"/>
        <v>301.05003810666676</v>
      </c>
      <c r="R27" s="259">
        <v>15839000</v>
      </c>
      <c r="S27" s="259">
        <v>10179000</v>
      </c>
      <c r="T27" s="259">
        <v>20745000</v>
      </c>
      <c r="U27" s="259">
        <v>14585000</v>
      </c>
      <c r="V27" s="259">
        <v>1945700</v>
      </c>
      <c r="W27" s="259">
        <v>1368000</v>
      </c>
      <c r="Y27" s="259">
        <f t="shared" si="7"/>
        <v>38529700</v>
      </c>
      <c r="Z27" s="259">
        <f t="shared" si="8"/>
        <v>26132000</v>
      </c>
      <c r="AA27" s="12">
        <f t="shared" si="9"/>
        <v>385.297</v>
      </c>
      <c r="AB27" s="12">
        <f t="shared" si="10"/>
        <v>261.32</v>
      </c>
    </row>
    <row r="28" spans="1:28" ht="12.75">
      <c r="A28" s="14">
        <v>16</v>
      </c>
      <c r="B28" s="224" t="s">
        <v>846</v>
      </c>
      <c r="C28" s="228">
        <v>609.1503791607844</v>
      </c>
      <c r="D28" s="228">
        <v>405.55294785098044</v>
      </c>
      <c r="E28" s="228">
        <f t="shared" si="0"/>
        <v>1014.7033270117648</v>
      </c>
      <c r="F28" s="228">
        <v>56.66595488000007</v>
      </c>
      <c r="G28" s="228">
        <v>436.0870479679145</v>
      </c>
      <c r="H28" s="228">
        <f t="shared" si="1"/>
        <v>492.75300284791456</v>
      </c>
      <c r="I28" s="531">
        <v>609.15</v>
      </c>
      <c r="J28" s="531">
        <v>405.55097</v>
      </c>
      <c r="K28" s="228">
        <f t="shared" si="2"/>
        <v>1014.70097</v>
      </c>
      <c r="L28" s="228">
        <v>594.25</v>
      </c>
      <c r="M28" s="228">
        <v>395.65000000000003</v>
      </c>
      <c r="N28" s="228">
        <f t="shared" si="3"/>
        <v>989.9000000000001</v>
      </c>
      <c r="O28" s="228">
        <f t="shared" si="4"/>
        <v>71.56595488000005</v>
      </c>
      <c r="P28" s="228">
        <f t="shared" si="5"/>
        <v>445.98801796791446</v>
      </c>
      <c r="Q28" s="228">
        <f t="shared" si="6"/>
        <v>517.5539728479143</v>
      </c>
      <c r="R28" s="259">
        <v>23576000</v>
      </c>
      <c r="S28" s="259">
        <v>12781000</v>
      </c>
      <c r="T28" s="259">
        <v>36995000</v>
      </c>
      <c r="U28" s="259">
        <v>22463000</v>
      </c>
      <c r="V28" s="259">
        <v>3470000</v>
      </c>
      <c r="W28" s="259">
        <v>2106800</v>
      </c>
      <c r="Y28" s="259">
        <f t="shared" si="7"/>
        <v>64041000</v>
      </c>
      <c r="Z28" s="259">
        <f t="shared" si="8"/>
        <v>37350800</v>
      </c>
      <c r="AA28" s="12">
        <f t="shared" si="9"/>
        <v>640.41</v>
      </c>
      <c r="AB28" s="12">
        <f t="shared" si="10"/>
        <v>373.508</v>
      </c>
    </row>
    <row r="29" spans="1:28" ht="12.75">
      <c r="A29" s="14">
        <v>17</v>
      </c>
      <c r="B29" s="224" t="s">
        <v>847</v>
      </c>
      <c r="C29" s="228">
        <v>507.635024225</v>
      </c>
      <c r="D29" s="228">
        <v>337.96725332500006</v>
      </c>
      <c r="E29" s="228">
        <f t="shared" si="0"/>
        <v>845.60227755</v>
      </c>
      <c r="F29" s="228">
        <v>19.848831960000155</v>
      </c>
      <c r="G29" s="228">
        <v>246.5245304521278</v>
      </c>
      <c r="H29" s="228">
        <f t="shared" si="1"/>
        <v>266.37336241212796</v>
      </c>
      <c r="I29" s="531">
        <v>507.635</v>
      </c>
      <c r="J29" s="531">
        <v>337.9696</v>
      </c>
      <c r="K29" s="228">
        <f t="shared" si="2"/>
        <v>845.6046</v>
      </c>
      <c r="L29" s="228">
        <v>446.83000000000004</v>
      </c>
      <c r="M29" s="228">
        <v>320.22</v>
      </c>
      <c r="N29" s="228">
        <f t="shared" si="3"/>
        <v>767.0500000000001</v>
      </c>
      <c r="O29" s="228">
        <f t="shared" si="4"/>
        <v>80.65383196000005</v>
      </c>
      <c r="P29" s="228">
        <f t="shared" si="5"/>
        <v>264.2741304521278</v>
      </c>
      <c r="Q29" s="228">
        <f t="shared" si="6"/>
        <v>344.92796241212784</v>
      </c>
      <c r="R29" s="259">
        <v>18651000</v>
      </c>
      <c r="S29" s="259">
        <v>13306000</v>
      </c>
      <c r="T29" s="259">
        <v>21541000</v>
      </c>
      <c r="U29" s="259">
        <v>17480000</v>
      </c>
      <c r="V29" s="259">
        <v>2020500</v>
      </c>
      <c r="W29" s="259">
        <v>1639500</v>
      </c>
      <c r="Y29" s="259">
        <f t="shared" si="7"/>
        <v>42212500</v>
      </c>
      <c r="Z29" s="259">
        <f t="shared" si="8"/>
        <v>32425500</v>
      </c>
      <c r="AA29" s="12">
        <f t="shared" si="9"/>
        <v>422.125</v>
      </c>
      <c r="AB29" s="12">
        <f t="shared" si="10"/>
        <v>324.255</v>
      </c>
    </row>
    <row r="30" spans="1:28" ht="12.75">
      <c r="A30" s="14">
        <v>18</v>
      </c>
      <c r="B30" s="224" t="s">
        <v>848</v>
      </c>
      <c r="C30" s="228">
        <v>426.716288425</v>
      </c>
      <c r="D30" s="228">
        <v>284.094132725</v>
      </c>
      <c r="E30" s="228">
        <f t="shared" si="0"/>
        <v>710.81042115</v>
      </c>
      <c r="F30" s="228">
        <v>9.024216760000058</v>
      </c>
      <c r="G30" s="228">
        <v>504.7018731283423</v>
      </c>
      <c r="H30" s="228">
        <f t="shared" si="1"/>
        <v>513.7260898883424</v>
      </c>
      <c r="I30" s="531">
        <v>426.716</v>
      </c>
      <c r="J30" s="531">
        <v>284.09648</v>
      </c>
      <c r="K30" s="228">
        <f t="shared" si="2"/>
        <v>710.81248</v>
      </c>
      <c r="L30" s="228">
        <v>392.01</v>
      </c>
      <c r="M30" s="228">
        <v>261.32</v>
      </c>
      <c r="N30" s="228">
        <f t="shared" si="3"/>
        <v>653.3299999999999</v>
      </c>
      <c r="O30" s="228">
        <f t="shared" si="4"/>
        <v>43.730216760000076</v>
      </c>
      <c r="P30" s="228">
        <f t="shared" si="5"/>
        <v>527.4783531283424</v>
      </c>
      <c r="Q30" s="228">
        <f t="shared" si="6"/>
        <v>571.2085698883425</v>
      </c>
      <c r="R30" s="259">
        <v>15950000</v>
      </c>
      <c r="S30" s="259">
        <v>11778000</v>
      </c>
      <c r="T30" s="259">
        <v>16582000</v>
      </c>
      <c r="U30" s="259">
        <v>14418000</v>
      </c>
      <c r="V30" s="259">
        <v>1555200</v>
      </c>
      <c r="W30" s="259">
        <v>1352100</v>
      </c>
      <c r="Y30" s="259">
        <f t="shared" si="7"/>
        <v>34087200</v>
      </c>
      <c r="Z30" s="259">
        <f t="shared" si="8"/>
        <v>27548100</v>
      </c>
      <c r="AA30" s="12">
        <f t="shared" si="9"/>
        <v>340.872</v>
      </c>
      <c r="AB30" s="12">
        <f t="shared" si="10"/>
        <v>275.481</v>
      </c>
    </row>
    <row r="31" spans="1:28" ht="12.75">
      <c r="A31" s="14">
        <v>19</v>
      </c>
      <c r="B31" s="224" t="s">
        <v>849</v>
      </c>
      <c r="C31" s="228">
        <v>325.974070349315</v>
      </c>
      <c r="D31" s="228">
        <v>217.02316813013698</v>
      </c>
      <c r="E31" s="228">
        <f t="shared" si="0"/>
        <v>542.997238479452</v>
      </c>
      <c r="F31" s="228">
        <v>14.13996807999996</v>
      </c>
      <c r="G31" s="228">
        <v>189.2715643617022</v>
      </c>
      <c r="H31" s="228">
        <f t="shared" si="1"/>
        <v>203.41153244170215</v>
      </c>
      <c r="I31" s="531">
        <v>325.974</v>
      </c>
      <c r="J31" s="531">
        <v>217.02351</v>
      </c>
      <c r="K31" s="228">
        <f t="shared" si="2"/>
        <v>542.9975099999999</v>
      </c>
      <c r="L31" s="228">
        <v>321.88</v>
      </c>
      <c r="M31" s="228">
        <v>214.29999999999995</v>
      </c>
      <c r="N31" s="228">
        <f t="shared" si="3"/>
        <v>536.18</v>
      </c>
      <c r="O31" s="228">
        <f t="shared" si="4"/>
        <v>18.233968079999954</v>
      </c>
      <c r="P31" s="228">
        <f t="shared" si="5"/>
        <v>191.99507436170222</v>
      </c>
      <c r="Q31" s="228">
        <f t="shared" si="6"/>
        <v>210.22904244170206</v>
      </c>
      <c r="R31" s="259">
        <v>14415000</v>
      </c>
      <c r="S31" s="259">
        <v>8257000</v>
      </c>
      <c r="T31" s="259">
        <v>18164000</v>
      </c>
      <c r="U31" s="259">
        <v>11359000</v>
      </c>
      <c r="V31" s="259">
        <v>1703700</v>
      </c>
      <c r="W31" s="259">
        <v>1065400</v>
      </c>
      <c r="Y31" s="259">
        <f t="shared" si="7"/>
        <v>34282700</v>
      </c>
      <c r="Z31" s="259">
        <f t="shared" si="8"/>
        <v>20681400</v>
      </c>
      <c r="AA31" s="12">
        <f t="shared" si="9"/>
        <v>342.827</v>
      </c>
      <c r="AB31" s="12">
        <f t="shared" si="10"/>
        <v>206.814</v>
      </c>
    </row>
    <row r="32" spans="1:28" ht="12.75">
      <c r="A32" s="14">
        <v>20</v>
      </c>
      <c r="B32" s="224" t="s">
        <v>850</v>
      </c>
      <c r="C32" s="228">
        <v>235.11366172499996</v>
      </c>
      <c r="D32" s="228">
        <v>156.53119796785714</v>
      </c>
      <c r="E32" s="228">
        <f t="shared" si="0"/>
        <v>391.6448596928571</v>
      </c>
      <c r="F32" s="228">
        <v>-12.240277519999921</v>
      </c>
      <c r="G32" s="228">
        <v>90.24560000000005</v>
      </c>
      <c r="H32" s="228">
        <f t="shared" si="1"/>
        <v>78.00532248000013</v>
      </c>
      <c r="I32" s="531">
        <v>235.11500000000004</v>
      </c>
      <c r="J32" s="531">
        <v>156.53131000000002</v>
      </c>
      <c r="K32" s="228">
        <f t="shared" si="2"/>
        <v>391.6463100000001</v>
      </c>
      <c r="L32" s="228">
        <v>215.38</v>
      </c>
      <c r="M32" s="228">
        <v>143.94</v>
      </c>
      <c r="N32" s="228">
        <f t="shared" si="3"/>
        <v>359.32</v>
      </c>
      <c r="O32" s="228">
        <f t="shared" si="4"/>
        <v>7.494722480000121</v>
      </c>
      <c r="P32" s="228">
        <f t="shared" si="5"/>
        <v>102.83691000000007</v>
      </c>
      <c r="Q32" s="228">
        <f t="shared" si="6"/>
        <v>110.33163248000022</v>
      </c>
      <c r="R32" s="259">
        <v>9039000</v>
      </c>
      <c r="S32" s="259">
        <v>5529000</v>
      </c>
      <c r="T32" s="259">
        <v>12785000</v>
      </c>
      <c r="U32" s="259">
        <v>8392000</v>
      </c>
      <c r="V32" s="259">
        <v>1199100</v>
      </c>
      <c r="W32" s="259">
        <v>787100</v>
      </c>
      <c r="Y32" s="259">
        <f t="shared" si="7"/>
        <v>23023100</v>
      </c>
      <c r="Z32" s="259">
        <f t="shared" si="8"/>
        <v>14708100</v>
      </c>
      <c r="AA32" s="12">
        <f t="shared" si="9"/>
        <v>230.231</v>
      </c>
      <c r="AB32" s="12">
        <f t="shared" si="10"/>
        <v>147.081</v>
      </c>
    </row>
    <row r="33" spans="1:28" ht="12.75">
      <c r="A33" s="14">
        <v>21</v>
      </c>
      <c r="B33" s="224" t="s">
        <v>851</v>
      </c>
      <c r="C33" s="228">
        <v>299.96649659375</v>
      </c>
      <c r="D33" s="228">
        <v>199.70815271875003</v>
      </c>
      <c r="E33" s="228">
        <f t="shared" si="0"/>
        <v>499.67464931250004</v>
      </c>
      <c r="F33" s="228">
        <v>15.166684720000148</v>
      </c>
      <c r="G33" s="228">
        <v>205.98329292553186</v>
      </c>
      <c r="H33" s="228">
        <f t="shared" si="1"/>
        <v>221.149977645532</v>
      </c>
      <c r="I33" s="531">
        <v>299.966</v>
      </c>
      <c r="J33" s="531">
        <v>199.70913</v>
      </c>
      <c r="K33" s="228">
        <f t="shared" si="2"/>
        <v>499.67512999999997</v>
      </c>
      <c r="L33" s="532">
        <v>265.65999999999997</v>
      </c>
      <c r="M33" s="532">
        <v>176.86</v>
      </c>
      <c r="N33" s="228">
        <f t="shared" si="3"/>
        <v>442.52</v>
      </c>
      <c r="O33" s="228">
        <f t="shared" si="4"/>
        <v>49.47268472000019</v>
      </c>
      <c r="P33" s="228">
        <f t="shared" si="5"/>
        <v>228.83242292553183</v>
      </c>
      <c r="Q33" s="228">
        <f t="shared" si="6"/>
        <v>278.30510764553196</v>
      </c>
      <c r="R33" s="259">
        <v>12374000</v>
      </c>
      <c r="S33" s="259">
        <v>7517000</v>
      </c>
      <c r="T33" s="259">
        <v>21290000</v>
      </c>
      <c r="U33" s="259">
        <v>10490000</v>
      </c>
      <c r="V33" s="259">
        <v>1996900</v>
      </c>
      <c r="W33" s="259">
        <v>984000</v>
      </c>
      <c r="Y33" s="259">
        <f t="shared" si="7"/>
        <v>35660900</v>
      </c>
      <c r="Z33" s="259">
        <f t="shared" si="8"/>
        <v>18991000</v>
      </c>
      <c r="AA33" s="12">
        <f t="shared" si="9"/>
        <v>356.609</v>
      </c>
      <c r="AB33" s="12">
        <f t="shared" si="10"/>
        <v>189.91</v>
      </c>
    </row>
    <row r="34" spans="1:28" ht="12.75">
      <c r="A34" s="14">
        <v>22</v>
      </c>
      <c r="B34" s="224" t="s">
        <v>852</v>
      </c>
      <c r="C34" s="228">
        <v>244.80938989230768</v>
      </c>
      <c r="D34" s="228">
        <v>162.98630540000002</v>
      </c>
      <c r="E34" s="228">
        <f t="shared" si="0"/>
        <v>407.7956952923077</v>
      </c>
      <c r="F34" s="228">
        <v>40.32989151999999</v>
      </c>
      <c r="G34" s="228">
        <v>83.74579167567566</v>
      </c>
      <c r="H34" s="228">
        <f t="shared" si="1"/>
        <v>124.07568319567565</v>
      </c>
      <c r="I34" s="531">
        <v>244.809</v>
      </c>
      <c r="J34" s="531">
        <v>162.98823</v>
      </c>
      <c r="K34" s="228">
        <f t="shared" si="2"/>
        <v>407.79723</v>
      </c>
      <c r="L34" s="228">
        <v>188.14999999999998</v>
      </c>
      <c r="M34" s="228">
        <v>142.78</v>
      </c>
      <c r="N34" s="228">
        <f t="shared" si="3"/>
        <v>330.92999999999995</v>
      </c>
      <c r="O34" s="228">
        <f t="shared" si="4"/>
        <v>96.98889152000004</v>
      </c>
      <c r="P34" s="228">
        <f t="shared" si="5"/>
        <v>103.95402167567565</v>
      </c>
      <c r="Q34" s="228">
        <f t="shared" si="6"/>
        <v>200.94291319567571</v>
      </c>
      <c r="R34" s="259">
        <v>9493000</v>
      </c>
      <c r="S34" s="259">
        <v>5351000</v>
      </c>
      <c r="T34" s="259">
        <v>16240000</v>
      </c>
      <c r="U34" s="259">
        <v>8927000</v>
      </c>
      <c r="V34" s="259">
        <v>1523300</v>
      </c>
      <c r="W34" s="259">
        <v>837400</v>
      </c>
      <c r="Y34" s="259">
        <f t="shared" si="7"/>
        <v>27256300</v>
      </c>
      <c r="Z34" s="259">
        <f t="shared" si="8"/>
        <v>15115400</v>
      </c>
      <c r="AA34" s="12">
        <f t="shared" si="9"/>
        <v>272.563</v>
      </c>
      <c r="AB34" s="12">
        <f t="shared" si="10"/>
        <v>151.154</v>
      </c>
    </row>
    <row r="35" spans="1:28" ht="12.75">
      <c r="A35" s="14">
        <v>23</v>
      </c>
      <c r="B35" s="224" t="s">
        <v>853</v>
      </c>
      <c r="C35" s="228">
        <v>382.8375701549296</v>
      </c>
      <c r="D35" s="228">
        <v>254.88107770422536</v>
      </c>
      <c r="E35" s="228">
        <f t="shared" si="0"/>
        <v>637.718647859155</v>
      </c>
      <c r="F35" s="228">
        <v>-76.84634964000003</v>
      </c>
      <c r="G35" s="228">
        <v>177.05665602094234</v>
      </c>
      <c r="H35" s="228">
        <f t="shared" si="1"/>
        <v>100.21030638094231</v>
      </c>
      <c r="I35" s="531">
        <v>382.838</v>
      </c>
      <c r="J35" s="531">
        <v>254.87939</v>
      </c>
      <c r="K35" s="228">
        <f t="shared" si="2"/>
        <v>637.71739</v>
      </c>
      <c r="L35" s="228">
        <v>371.12</v>
      </c>
      <c r="M35" s="228">
        <v>247.07799999999995</v>
      </c>
      <c r="N35" s="228">
        <f t="shared" si="3"/>
        <v>618.198</v>
      </c>
      <c r="O35" s="228">
        <f t="shared" si="4"/>
        <v>-65.12834964000001</v>
      </c>
      <c r="P35" s="228">
        <f t="shared" si="5"/>
        <v>184.8580460209424</v>
      </c>
      <c r="Q35" s="228">
        <f t="shared" si="6"/>
        <v>119.7296963809423</v>
      </c>
      <c r="R35" s="259">
        <v>12173000</v>
      </c>
      <c r="S35" s="259">
        <v>11233000</v>
      </c>
      <c r="T35" s="259">
        <v>23573000</v>
      </c>
      <c r="U35" s="259">
        <v>12624000</v>
      </c>
      <c r="V35" s="259">
        <v>2211000</v>
      </c>
      <c r="W35" s="259">
        <v>1184000</v>
      </c>
      <c r="Y35" s="259">
        <f t="shared" si="7"/>
        <v>37957000</v>
      </c>
      <c r="Z35" s="259">
        <f t="shared" si="8"/>
        <v>25041000</v>
      </c>
      <c r="AA35" s="12">
        <f t="shared" si="9"/>
        <v>379.57</v>
      </c>
      <c r="AB35" s="12">
        <f t="shared" si="10"/>
        <v>250.41</v>
      </c>
    </row>
    <row r="36" spans="1:28" ht="12.75">
      <c r="A36" s="14">
        <v>24</v>
      </c>
      <c r="B36" s="224" t="s">
        <v>854</v>
      </c>
      <c r="C36" s="228">
        <v>440.4213149194444</v>
      </c>
      <c r="D36" s="228">
        <v>293.2185034638889</v>
      </c>
      <c r="E36" s="228">
        <f t="shared" si="0"/>
        <v>733.6398183833332</v>
      </c>
      <c r="F36" s="228">
        <v>-208.89885000000015</v>
      </c>
      <c r="G36" s="228">
        <v>357.961936235955</v>
      </c>
      <c r="H36" s="228">
        <f t="shared" si="1"/>
        <v>149.06308623595487</v>
      </c>
      <c r="I36" s="531">
        <v>440.424</v>
      </c>
      <c r="J36" s="531">
        <v>293.21859</v>
      </c>
      <c r="K36" s="228">
        <f t="shared" si="2"/>
        <v>733.6425899999999</v>
      </c>
      <c r="L36" s="228">
        <v>515.11</v>
      </c>
      <c r="M36" s="228">
        <v>226.70000000000002</v>
      </c>
      <c r="N36" s="228">
        <f t="shared" si="3"/>
        <v>741.8100000000001</v>
      </c>
      <c r="O36" s="228">
        <f t="shared" si="4"/>
        <v>-283.5848500000002</v>
      </c>
      <c r="P36" s="228">
        <f t="shared" si="5"/>
        <v>424.48052623595504</v>
      </c>
      <c r="Q36" s="228">
        <f t="shared" si="6"/>
        <v>140.89567623595474</v>
      </c>
      <c r="R36" s="259">
        <v>11316000</v>
      </c>
      <c r="S36" s="259">
        <v>8720000</v>
      </c>
      <c r="T36" s="259">
        <v>22559000</v>
      </c>
      <c r="U36" s="259">
        <v>16484000</v>
      </c>
      <c r="V36" s="259">
        <v>2116000</v>
      </c>
      <c r="W36" s="259">
        <v>1546000</v>
      </c>
      <c r="Y36" s="259">
        <f t="shared" si="7"/>
        <v>35991000</v>
      </c>
      <c r="Z36" s="259">
        <f t="shared" si="8"/>
        <v>26750000</v>
      </c>
      <c r="AA36" s="12">
        <f t="shared" si="9"/>
        <v>359.91</v>
      </c>
      <c r="AB36" s="12">
        <f t="shared" si="10"/>
        <v>267.5</v>
      </c>
    </row>
    <row r="37" spans="1:17" s="11" customFormat="1" ht="12.75">
      <c r="A37" s="560" t="s">
        <v>13</v>
      </c>
      <c r="B37" s="561"/>
      <c r="C37" s="243">
        <f>SUM(C13:C36)</f>
        <v>8805.44350903071</v>
      </c>
      <c r="D37" s="243">
        <f aca="true" t="shared" si="11" ref="D37:Q37">SUM(D13:D36)</f>
        <v>5862.384222993492</v>
      </c>
      <c r="E37" s="243">
        <f t="shared" si="11"/>
        <v>14667.8277320242</v>
      </c>
      <c r="F37" s="313">
        <f t="shared" si="11"/>
        <v>105.02057228000012</v>
      </c>
      <c r="G37" s="243">
        <f t="shared" si="11"/>
        <v>6177.388693438043</v>
      </c>
      <c r="H37" s="243">
        <f t="shared" si="11"/>
        <v>6282.409265718044</v>
      </c>
      <c r="I37" s="324">
        <f t="shared" si="11"/>
        <v>8805.45</v>
      </c>
      <c r="J37" s="324">
        <f t="shared" si="11"/>
        <v>5858.029390000002</v>
      </c>
      <c r="K37" s="243">
        <f t="shared" si="11"/>
        <v>14663.479389999999</v>
      </c>
      <c r="L37" s="243">
        <f t="shared" si="11"/>
        <v>8438.335536419998</v>
      </c>
      <c r="M37" s="243">
        <f t="shared" si="11"/>
        <v>5409.2097716399985</v>
      </c>
      <c r="N37" s="243">
        <f t="shared" si="11"/>
        <v>13847.54530806</v>
      </c>
      <c r="O37" s="243">
        <f t="shared" si="11"/>
        <v>472.13503586000024</v>
      </c>
      <c r="P37" s="243">
        <f t="shared" si="11"/>
        <v>6626.208311798044</v>
      </c>
      <c r="Q37" s="243">
        <f t="shared" si="11"/>
        <v>7098.343347658043</v>
      </c>
    </row>
    <row r="38" spans="1:17" ht="12.75">
      <c r="A38" s="9"/>
      <c r="B38" s="24"/>
      <c r="C38" s="24"/>
      <c r="D38" s="24"/>
      <c r="E38" s="17"/>
      <c r="F38" s="17"/>
      <c r="G38" s="17"/>
      <c r="H38" s="17"/>
      <c r="I38" s="17"/>
      <c r="J38" s="17"/>
      <c r="K38" s="17"/>
      <c r="L38" s="17"/>
      <c r="M38" s="17"/>
      <c r="N38" s="17"/>
      <c r="O38" s="17"/>
      <c r="P38" s="17"/>
      <c r="Q38" s="17"/>
    </row>
    <row r="39" spans="1:17" ht="14.25" customHeight="1">
      <c r="A39" s="739" t="s">
        <v>755</v>
      </c>
      <c r="B39" s="739"/>
      <c r="C39" s="739"/>
      <c r="D39" s="739"/>
      <c r="E39" s="739"/>
      <c r="F39" s="739"/>
      <c r="G39" s="739"/>
      <c r="H39" s="739"/>
      <c r="I39" s="739"/>
      <c r="J39" s="739"/>
      <c r="K39" s="739"/>
      <c r="L39" s="739"/>
      <c r="M39" s="739"/>
      <c r="N39" s="739"/>
      <c r="O39" s="739"/>
      <c r="P39" s="739"/>
      <c r="Q39" s="739"/>
    </row>
    <row r="40" spans="1:17" ht="12.75">
      <c r="A40" s="370"/>
      <c r="B40" s="370"/>
      <c r="C40" s="370"/>
      <c r="D40" s="370"/>
      <c r="E40" s="370"/>
      <c r="F40" s="370"/>
      <c r="G40" s="370"/>
      <c r="H40" s="370"/>
      <c r="I40" s="370"/>
      <c r="J40" s="370"/>
      <c r="K40" s="370"/>
      <c r="L40" s="370"/>
      <c r="M40" s="370"/>
      <c r="N40" s="370"/>
      <c r="O40" s="370"/>
      <c r="P40" s="370"/>
      <c r="Q40" s="370"/>
    </row>
    <row r="41" spans="1:17" ht="12.75">
      <c r="A41" s="370"/>
      <c r="B41" s="370"/>
      <c r="C41" s="370"/>
      <c r="D41" s="370"/>
      <c r="E41" s="370"/>
      <c r="F41" s="370"/>
      <c r="G41" s="370"/>
      <c r="H41" s="370"/>
      <c r="I41" s="370"/>
      <c r="J41" s="370"/>
      <c r="K41" s="370"/>
      <c r="L41" s="370"/>
      <c r="M41" s="370"/>
      <c r="N41" s="370"/>
      <c r="O41" s="370"/>
      <c r="P41" s="370"/>
      <c r="Q41" s="370"/>
    </row>
    <row r="42" spans="1:17" ht="12.75">
      <c r="A42" s="370"/>
      <c r="B42" s="370"/>
      <c r="C42" s="370"/>
      <c r="D42" s="370"/>
      <c r="E42" s="370"/>
      <c r="F42" s="370"/>
      <c r="G42" s="370"/>
      <c r="H42" s="370"/>
      <c r="I42" s="370"/>
      <c r="J42" s="370"/>
      <c r="K42" s="370"/>
      <c r="L42" s="370"/>
      <c r="M42" s="370"/>
      <c r="N42" s="370"/>
      <c r="O42" s="370"/>
      <c r="P42" s="370"/>
      <c r="Q42" s="370"/>
    </row>
    <row r="43" spans="1:17" ht="12.75">
      <c r="A43" s="28"/>
      <c r="B43" s="35"/>
      <c r="C43" s="35"/>
      <c r="D43" s="35"/>
      <c r="E43" s="35"/>
      <c r="F43" s="340"/>
      <c r="G43" s="35"/>
      <c r="H43" s="35"/>
      <c r="I43" s="35"/>
      <c r="J43" s="35"/>
      <c r="K43" s="35"/>
      <c r="L43" s="35"/>
      <c r="M43" s="35"/>
      <c r="N43" s="35"/>
      <c r="O43" s="35"/>
      <c r="P43" s="35"/>
      <c r="Q43" s="35"/>
    </row>
    <row r="44" spans="1:17" ht="12.75">
      <c r="A44" s="11"/>
      <c r="B44" s="11"/>
      <c r="C44" s="11"/>
      <c r="D44" s="11"/>
      <c r="E44" s="11"/>
      <c r="F44" s="11"/>
      <c r="G44" s="11"/>
      <c r="H44" s="11"/>
      <c r="I44" s="11"/>
      <c r="J44" s="11"/>
      <c r="K44" s="11"/>
      <c r="L44" s="11"/>
      <c r="M44" s="11"/>
      <c r="P44" s="68"/>
      <c r="Q44" s="68"/>
    </row>
    <row r="45" spans="1:17" ht="12.75" customHeight="1">
      <c r="A45" s="559" t="s">
        <v>989</v>
      </c>
      <c r="B45" s="559"/>
      <c r="C45" s="559"/>
      <c r="G45" s="359"/>
      <c r="H45" s="559" t="s">
        <v>990</v>
      </c>
      <c r="I45" s="559"/>
      <c r="K45" s="68"/>
      <c r="L45" s="68"/>
      <c r="M45" s="68"/>
      <c r="N45" s="559" t="s">
        <v>996</v>
      </c>
      <c r="O45" s="559"/>
      <c r="P45" s="559"/>
      <c r="Q45" s="68"/>
    </row>
    <row r="46" spans="1:17" ht="12.75" customHeight="1">
      <c r="A46" s="559" t="s">
        <v>991</v>
      </c>
      <c r="B46" s="559"/>
      <c r="C46" s="559"/>
      <c r="G46" s="359"/>
      <c r="H46" s="559" t="s">
        <v>992</v>
      </c>
      <c r="I46" s="559"/>
      <c r="K46" s="68"/>
      <c r="L46" s="68"/>
      <c r="M46" s="68"/>
      <c r="N46" s="559" t="s">
        <v>993</v>
      </c>
      <c r="O46" s="559"/>
      <c r="P46" s="559"/>
      <c r="Q46" s="68"/>
    </row>
    <row r="47" spans="1:18" ht="12.75">
      <c r="A47" s="559" t="s">
        <v>994</v>
      </c>
      <c r="B47" s="559"/>
      <c r="C47" s="559"/>
      <c r="G47" s="359"/>
      <c r="H47" s="559" t="s">
        <v>995</v>
      </c>
      <c r="I47" s="559"/>
      <c r="K47" s="11"/>
      <c r="L47" s="11"/>
      <c r="M47" s="11"/>
      <c r="N47" s="559" t="s">
        <v>995</v>
      </c>
      <c r="O47" s="559"/>
      <c r="P47" s="559"/>
      <c r="Q47" s="29"/>
      <c r="R47" s="29"/>
    </row>
  </sheetData>
  <sheetProtection/>
  <mergeCells count="25">
    <mergeCell ref="P1:Q1"/>
    <mergeCell ref="A2:Q2"/>
    <mergeCell ref="A3:Q3"/>
    <mergeCell ref="N9:Q9"/>
    <mergeCell ref="A10:A11"/>
    <mergeCell ref="B10:B11"/>
    <mergeCell ref="C10:E10"/>
    <mergeCell ref="A6:Q6"/>
    <mergeCell ref="R1:R10"/>
    <mergeCell ref="I10:K10"/>
    <mergeCell ref="L10:N10"/>
    <mergeCell ref="O10:Q10"/>
    <mergeCell ref="A37:B37"/>
    <mergeCell ref="A45:C45"/>
    <mergeCell ref="H45:I45"/>
    <mergeCell ref="N45:P45"/>
    <mergeCell ref="A8:B8"/>
    <mergeCell ref="A39:Q39"/>
    <mergeCell ref="H46:I46"/>
    <mergeCell ref="N46:P46"/>
    <mergeCell ref="A47:C47"/>
    <mergeCell ref="H47:I47"/>
    <mergeCell ref="N47:P47"/>
    <mergeCell ref="F10:H10"/>
    <mergeCell ref="A46:C4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Z52"/>
  <sheetViews>
    <sheetView view="pageBreakPreview" zoomScale="70" zoomScaleNormal="80" zoomScaleSheetLayoutView="70" zoomScalePageLayoutView="0" workbookViewId="0" topLeftCell="B1">
      <selection activeCell="C14" sqref="C14:D37"/>
    </sheetView>
  </sheetViews>
  <sheetFormatPr defaultColWidth="9.140625" defaultRowHeight="12.75"/>
  <cols>
    <col min="1" max="1" width="9.140625" style="12" customWidth="1"/>
    <col min="2" max="2" width="15.28125" style="12" customWidth="1"/>
    <col min="3" max="3" width="11.00390625" style="12" customWidth="1"/>
    <col min="4" max="4" width="10.7109375" style="12" customWidth="1"/>
    <col min="5" max="6" width="9.140625" style="12" customWidth="1"/>
    <col min="7" max="7" width="8.8515625" style="12" customWidth="1"/>
    <col min="8" max="8" width="9.00390625" style="12" customWidth="1"/>
    <col min="9" max="9" width="8.8515625" style="12" customWidth="1"/>
    <col min="10" max="10" width="8.7109375" style="12" customWidth="1"/>
    <col min="11" max="11" width="10.57421875" style="12" bestFit="1" customWidth="1"/>
    <col min="12" max="12" width="11.00390625" style="12" bestFit="1" customWidth="1"/>
    <col min="13" max="13" width="10.57421875" style="12" bestFit="1" customWidth="1"/>
    <col min="14" max="14" width="9.7109375" style="12" customWidth="1"/>
    <col min="15" max="15" width="9.28125" style="12" customWidth="1"/>
    <col min="16" max="16" width="10.140625" style="12" bestFit="1" customWidth="1"/>
    <col min="17" max="17" width="8.8515625" style="12" customWidth="1"/>
    <col min="18" max="19" width="9.140625" style="12" customWidth="1"/>
    <col min="20" max="20" width="10.421875" style="12" customWidth="1"/>
    <col min="21" max="21" width="11.140625" style="12" customWidth="1"/>
    <col min="22" max="22" width="11.8515625" style="12" customWidth="1"/>
    <col min="23" max="16384" width="9.140625" style="12" customWidth="1"/>
  </cols>
  <sheetData>
    <row r="1" spans="20:22" ht="15">
      <c r="T1" s="745" t="s">
        <v>59</v>
      </c>
      <c r="U1" s="745"/>
      <c r="V1" s="745"/>
    </row>
    <row r="3" spans="1:22" ht="15">
      <c r="A3" s="684" t="s">
        <v>0</v>
      </c>
      <c r="B3" s="684"/>
      <c r="C3" s="684"/>
      <c r="D3" s="684"/>
      <c r="E3" s="684"/>
      <c r="F3" s="684"/>
      <c r="G3" s="684"/>
      <c r="H3" s="684"/>
      <c r="I3" s="684"/>
      <c r="J3" s="684"/>
      <c r="K3" s="684"/>
      <c r="L3" s="684"/>
      <c r="M3" s="684"/>
      <c r="N3" s="684"/>
      <c r="O3" s="684"/>
      <c r="P3" s="684"/>
      <c r="Q3" s="684"/>
      <c r="R3" s="684"/>
      <c r="S3" s="684"/>
      <c r="T3" s="684"/>
      <c r="U3" s="684"/>
      <c r="V3" s="684"/>
    </row>
    <row r="4" spans="1:22" ht="20.25">
      <c r="A4" s="657" t="s">
        <v>645</v>
      </c>
      <c r="B4" s="657"/>
      <c r="C4" s="657"/>
      <c r="D4" s="657"/>
      <c r="E4" s="657"/>
      <c r="F4" s="657"/>
      <c r="G4" s="657"/>
      <c r="H4" s="657"/>
      <c r="I4" s="657"/>
      <c r="J4" s="657"/>
      <c r="K4" s="657"/>
      <c r="L4" s="657"/>
      <c r="M4" s="657"/>
      <c r="N4" s="657"/>
      <c r="O4" s="657"/>
      <c r="P4" s="657"/>
      <c r="Q4" s="657"/>
      <c r="R4" s="657"/>
      <c r="S4" s="657"/>
      <c r="T4" s="657"/>
      <c r="U4" s="657"/>
      <c r="V4" s="657"/>
    </row>
    <row r="5" spans="1:17" ht="15.75">
      <c r="A5" s="746" t="s">
        <v>436</v>
      </c>
      <c r="B5" s="746"/>
      <c r="C5" s="746"/>
      <c r="D5" s="746"/>
      <c r="E5" s="746"/>
      <c r="F5" s="746"/>
      <c r="G5" s="746"/>
      <c r="H5" s="746"/>
      <c r="I5" s="746"/>
      <c r="J5" s="746"/>
      <c r="K5" s="746"/>
      <c r="L5" s="746"/>
      <c r="M5" s="746"/>
      <c r="N5" s="746"/>
      <c r="O5" s="746"/>
      <c r="P5" s="746"/>
      <c r="Q5" s="746"/>
    </row>
    <row r="6" spans="1:21" ht="12.75">
      <c r="A6" s="29"/>
      <c r="B6" s="29"/>
      <c r="C6" s="116"/>
      <c r="D6" s="29"/>
      <c r="E6" s="29"/>
      <c r="F6" s="29"/>
      <c r="G6" s="29"/>
      <c r="H6" s="29"/>
      <c r="I6" s="29"/>
      <c r="J6" s="29"/>
      <c r="K6" s="29"/>
      <c r="L6" s="29"/>
      <c r="M6" s="29"/>
      <c r="N6" s="29"/>
      <c r="O6" s="29"/>
      <c r="P6" s="29"/>
      <c r="Q6" s="29"/>
      <c r="U6" s="29"/>
    </row>
    <row r="8" spans="1:22" ht="15.75">
      <c r="A8" s="592" t="s">
        <v>230</v>
      </c>
      <c r="B8" s="592"/>
      <c r="C8" s="592"/>
      <c r="D8" s="592"/>
      <c r="E8" s="592"/>
      <c r="F8" s="592"/>
      <c r="G8" s="592"/>
      <c r="H8" s="592"/>
      <c r="I8" s="592"/>
      <c r="J8" s="592"/>
      <c r="K8" s="592"/>
      <c r="L8" s="592"/>
      <c r="M8" s="592"/>
      <c r="N8" s="592"/>
      <c r="O8" s="592"/>
      <c r="P8" s="592"/>
      <c r="Q8" s="592"/>
      <c r="R8" s="592"/>
      <c r="S8" s="592"/>
      <c r="T8" s="592"/>
      <c r="U8" s="592"/>
      <c r="V8" s="592"/>
    </row>
    <row r="9" spans="1:22" ht="15.75">
      <c r="A9" s="40"/>
      <c r="B9" s="33"/>
      <c r="C9" s="33"/>
      <c r="D9" s="33"/>
      <c r="E9" s="33"/>
      <c r="F9" s="33"/>
      <c r="G9" s="33"/>
      <c r="H9" s="33"/>
      <c r="I9" s="33"/>
      <c r="J9" s="33"/>
      <c r="K9" s="33"/>
      <c r="L9" s="33"/>
      <c r="M9" s="33"/>
      <c r="N9" s="33"/>
      <c r="O9" s="33"/>
      <c r="Q9" s="29"/>
      <c r="R9" s="29"/>
      <c r="S9" s="29"/>
      <c r="U9" s="33"/>
      <c r="V9" s="26" t="s">
        <v>223</v>
      </c>
    </row>
    <row r="10" spans="17:21" ht="12.75">
      <c r="Q10" s="79"/>
      <c r="R10" s="79"/>
      <c r="S10" s="79"/>
      <c r="T10" s="79" t="s">
        <v>959</v>
      </c>
      <c r="U10" s="79"/>
    </row>
    <row r="11" spans="1:22" ht="28.5" customHeight="1">
      <c r="A11" s="743" t="s">
        <v>17</v>
      </c>
      <c r="B11" s="685" t="s">
        <v>201</v>
      </c>
      <c r="C11" s="685" t="s">
        <v>369</v>
      </c>
      <c r="D11" s="685" t="s">
        <v>480</v>
      </c>
      <c r="E11" s="596" t="s">
        <v>674</v>
      </c>
      <c r="F11" s="596"/>
      <c r="G11" s="596"/>
      <c r="H11" s="574" t="s">
        <v>673</v>
      </c>
      <c r="I11" s="625"/>
      <c r="J11" s="575"/>
      <c r="K11" s="735" t="s">
        <v>371</v>
      </c>
      <c r="L11" s="736"/>
      <c r="M11" s="737"/>
      <c r="N11" s="747" t="s">
        <v>150</v>
      </c>
      <c r="O11" s="748"/>
      <c r="P11" s="749"/>
      <c r="Q11" s="573" t="s">
        <v>1015</v>
      </c>
      <c r="R11" s="573"/>
      <c r="S11" s="573"/>
      <c r="T11" s="685" t="s">
        <v>252</v>
      </c>
      <c r="U11" s="685" t="s">
        <v>425</v>
      </c>
      <c r="V11" s="685" t="s">
        <v>372</v>
      </c>
    </row>
    <row r="12" spans="1:22" ht="65.25" customHeight="1">
      <c r="A12" s="744"/>
      <c r="B12" s="686"/>
      <c r="C12" s="686"/>
      <c r="D12" s="686"/>
      <c r="E12" s="5" t="s">
        <v>173</v>
      </c>
      <c r="F12" s="5" t="s">
        <v>202</v>
      </c>
      <c r="G12" s="5" t="s">
        <v>13</v>
      </c>
      <c r="H12" s="5" t="s">
        <v>173</v>
      </c>
      <c r="I12" s="5" t="s">
        <v>202</v>
      </c>
      <c r="J12" s="5" t="s">
        <v>13</v>
      </c>
      <c r="K12" s="5" t="s">
        <v>173</v>
      </c>
      <c r="L12" s="5" t="s">
        <v>202</v>
      </c>
      <c r="M12" s="5" t="s">
        <v>13</v>
      </c>
      <c r="N12" s="5" t="s">
        <v>173</v>
      </c>
      <c r="O12" s="5" t="s">
        <v>202</v>
      </c>
      <c r="P12" s="5" t="s">
        <v>13</v>
      </c>
      <c r="Q12" s="5" t="s">
        <v>999</v>
      </c>
      <c r="R12" s="5" t="s">
        <v>1000</v>
      </c>
      <c r="S12" s="5" t="s">
        <v>1001</v>
      </c>
      <c r="T12" s="686"/>
      <c r="U12" s="686"/>
      <c r="V12" s="686"/>
    </row>
    <row r="13" spans="1:26" ht="12.75">
      <c r="A13" s="115">
        <v>1</v>
      </c>
      <c r="B13" s="83">
        <v>2</v>
      </c>
      <c r="C13" s="115">
        <v>3</v>
      </c>
      <c r="D13" s="83">
        <v>4</v>
      </c>
      <c r="E13" s="115">
        <v>5</v>
      </c>
      <c r="F13" s="83">
        <v>6</v>
      </c>
      <c r="G13" s="83">
        <v>7</v>
      </c>
      <c r="H13" s="83">
        <v>8</v>
      </c>
      <c r="I13" s="14">
        <v>9</v>
      </c>
      <c r="J13" s="83">
        <v>10</v>
      </c>
      <c r="K13" s="83">
        <v>11</v>
      </c>
      <c r="L13" s="14">
        <v>12</v>
      </c>
      <c r="M13" s="83">
        <v>13</v>
      </c>
      <c r="N13" s="83">
        <v>14</v>
      </c>
      <c r="O13" s="14">
        <v>15</v>
      </c>
      <c r="P13" s="83">
        <v>16</v>
      </c>
      <c r="Q13" s="83">
        <v>17</v>
      </c>
      <c r="R13" s="14">
        <v>18</v>
      </c>
      <c r="S13" s="83">
        <v>19</v>
      </c>
      <c r="T13" s="83">
        <v>20</v>
      </c>
      <c r="U13" s="14">
        <v>21</v>
      </c>
      <c r="V13" s="83">
        <v>22</v>
      </c>
      <c r="Z13" s="12" t="s">
        <v>983</v>
      </c>
    </row>
    <row r="14" spans="1:26" ht="13.5" customHeight="1">
      <c r="A14" s="14">
        <v>1</v>
      </c>
      <c r="B14" s="224" t="s">
        <v>831</v>
      </c>
      <c r="C14" s="15">
        <v>5360</v>
      </c>
      <c r="D14" s="15">
        <v>5244</v>
      </c>
      <c r="E14" s="228">
        <f>C14*600*10/100000</f>
        <v>321.6</v>
      </c>
      <c r="F14" s="15">
        <f>C14*900*10/100000</f>
        <v>482.4</v>
      </c>
      <c r="G14" s="228">
        <f>SUM(E14:F14)</f>
        <v>804</v>
      </c>
      <c r="H14" s="228">
        <v>-19.612650000000077</v>
      </c>
      <c r="I14" s="228">
        <v>147.93399999999997</v>
      </c>
      <c r="J14" s="228">
        <f>SUM(H14:I14)</f>
        <v>128.32134999999988</v>
      </c>
      <c r="K14" s="228">
        <v>321.6</v>
      </c>
      <c r="L14" s="228">
        <v>370.5351</v>
      </c>
      <c r="M14" s="228">
        <f>SUM(K14:L14)</f>
        <v>692.1351</v>
      </c>
      <c r="N14" s="228">
        <v>308.264</v>
      </c>
      <c r="O14" s="228">
        <v>462.38599999999997</v>
      </c>
      <c r="P14" s="228">
        <f>SUM(N14:O14)</f>
        <v>770.65</v>
      </c>
      <c r="Q14" s="228">
        <f>H14+K14-N14</f>
        <v>-6.276650000000075</v>
      </c>
      <c r="R14" s="228">
        <f>I14+L14-O14</f>
        <v>56.08310000000006</v>
      </c>
      <c r="S14" s="228">
        <f>J14+M14-P14</f>
        <v>49.80644999999993</v>
      </c>
      <c r="T14" s="14" t="s">
        <v>865</v>
      </c>
      <c r="U14" s="15">
        <v>5244</v>
      </c>
      <c r="V14" s="15">
        <v>5244</v>
      </c>
      <c r="X14" s="259">
        <f>C14*600*10/100000</f>
        <v>321.6</v>
      </c>
      <c r="Y14" s="12">
        <v>311.877</v>
      </c>
      <c r="Z14" s="259">
        <f>X14-Y14</f>
        <v>9.723000000000013</v>
      </c>
    </row>
    <row r="15" spans="1:26" ht="13.5" customHeight="1">
      <c r="A15" s="14">
        <v>2</v>
      </c>
      <c r="B15" s="224" t="s">
        <v>832</v>
      </c>
      <c r="C15" s="15">
        <v>1802</v>
      </c>
      <c r="D15" s="15">
        <v>1627</v>
      </c>
      <c r="E15" s="228">
        <f aca="true" t="shared" si="0" ref="E15:E37">C15*600*10/100000</f>
        <v>108.12</v>
      </c>
      <c r="F15" s="15">
        <f aca="true" t="shared" si="1" ref="F15:F37">C15*900*10/100000</f>
        <v>162.18</v>
      </c>
      <c r="G15" s="228">
        <f aca="true" t="shared" si="2" ref="G15:G37">SUM(E15:F15)</f>
        <v>270.3</v>
      </c>
      <c r="H15" s="228">
        <v>-10.395080000000036</v>
      </c>
      <c r="I15" s="228">
        <v>44.772000000000006</v>
      </c>
      <c r="J15" s="228">
        <f aca="true" t="shared" si="3" ref="J15:J37">SUM(H15:I15)</f>
        <v>34.37691999999997</v>
      </c>
      <c r="K15" s="228">
        <v>108.12</v>
      </c>
      <c r="L15" s="228">
        <v>116.7288</v>
      </c>
      <c r="M15" s="228">
        <f aca="true" t="shared" si="4" ref="M15:M37">SUM(K15:L15)</f>
        <v>224.8488</v>
      </c>
      <c r="N15" s="228">
        <v>119.63999999999999</v>
      </c>
      <c r="O15" s="228">
        <v>147.33</v>
      </c>
      <c r="P15" s="228">
        <f aca="true" t="shared" si="5" ref="P15:P37">SUM(N15:O15)</f>
        <v>266.97</v>
      </c>
      <c r="Q15" s="228">
        <f aca="true" t="shared" si="6" ref="Q15:Q37">H15+K15-N15</f>
        <v>-21.915080000000017</v>
      </c>
      <c r="R15" s="228">
        <f aca="true" t="shared" si="7" ref="R15:R37">I15+L15-O15</f>
        <v>14.170800000000014</v>
      </c>
      <c r="S15" s="228">
        <f aca="true" t="shared" si="8" ref="S15:S37">J15+M15-P15</f>
        <v>-7.74428000000006</v>
      </c>
      <c r="T15" s="14" t="s">
        <v>865</v>
      </c>
      <c r="U15" s="15">
        <v>1627</v>
      </c>
      <c r="V15" s="15">
        <v>1627</v>
      </c>
      <c r="X15" s="259">
        <f aca="true" t="shared" si="9" ref="X15:X37">C15*600*10/100000</f>
        <v>108.12</v>
      </c>
      <c r="Y15" s="12">
        <v>83.148</v>
      </c>
      <c r="Z15" s="259">
        <f aca="true" t="shared" si="10" ref="Z15:Z37">X15-Y15</f>
        <v>24.97200000000001</v>
      </c>
    </row>
    <row r="16" spans="1:26" ht="13.5" customHeight="1">
      <c r="A16" s="14">
        <v>3</v>
      </c>
      <c r="B16" s="224" t="s">
        <v>833</v>
      </c>
      <c r="C16" s="15">
        <v>1478</v>
      </c>
      <c r="D16" s="15">
        <v>1205</v>
      </c>
      <c r="E16" s="228">
        <f t="shared" si="0"/>
        <v>88.68</v>
      </c>
      <c r="F16" s="15">
        <f t="shared" si="1"/>
        <v>133.02</v>
      </c>
      <c r="G16" s="228">
        <f t="shared" si="2"/>
        <v>221.70000000000002</v>
      </c>
      <c r="H16" s="228">
        <v>-16.814459999999965</v>
      </c>
      <c r="I16" s="228">
        <v>103.794</v>
      </c>
      <c r="J16" s="228">
        <f t="shared" si="3"/>
        <v>86.97954000000003</v>
      </c>
      <c r="K16" s="228">
        <v>88.68</v>
      </c>
      <c r="L16" s="228">
        <v>85.14430000000002</v>
      </c>
      <c r="M16" s="228">
        <f t="shared" si="4"/>
        <v>173.82430000000002</v>
      </c>
      <c r="N16" s="228">
        <v>90.379</v>
      </c>
      <c r="O16" s="228">
        <v>90.37899999999999</v>
      </c>
      <c r="P16" s="228">
        <f t="shared" si="5"/>
        <v>180.75799999999998</v>
      </c>
      <c r="Q16" s="228">
        <f t="shared" si="6"/>
        <v>-18.513459999999966</v>
      </c>
      <c r="R16" s="228">
        <f t="shared" si="7"/>
        <v>98.55930000000004</v>
      </c>
      <c r="S16" s="228">
        <f t="shared" si="8"/>
        <v>80.04584000000006</v>
      </c>
      <c r="T16" s="14" t="s">
        <v>865</v>
      </c>
      <c r="U16" s="15">
        <v>1205</v>
      </c>
      <c r="V16" s="15">
        <v>1205</v>
      </c>
      <c r="X16" s="259">
        <f t="shared" si="9"/>
        <v>88.68</v>
      </c>
      <c r="Y16" s="12">
        <v>71.664</v>
      </c>
      <c r="Z16" s="259">
        <f t="shared" si="10"/>
        <v>17.016000000000005</v>
      </c>
    </row>
    <row r="17" spans="1:26" ht="13.5" customHeight="1">
      <c r="A17" s="14">
        <v>4</v>
      </c>
      <c r="B17" s="224" t="s">
        <v>834</v>
      </c>
      <c r="C17" s="15">
        <v>3802</v>
      </c>
      <c r="D17" s="15">
        <v>3686</v>
      </c>
      <c r="E17" s="228">
        <f t="shared" si="0"/>
        <v>228.12</v>
      </c>
      <c r="F17" s="15">
        <f t="shared" si="1"/>
        <v>342.18</v>
      </c>
      <c r="G17" s="228">
        <f t="shared" si="2"/>
        <v>570.3</v>
      </c>
      <c r="H17" s="228">
        <v>-32.157379999999975</v>
      </c>
      <c r="I17" s="228">
        <v>35.982000000000085</v>
      </c>
      <c r="J17" s="228">
        <f t="shared" si="3"/>
        <v>3.8246200000001096</v>
      </c>
      <c r="K17" s="228">
        <v>228.12</v>
      </c>
      <c r="L17" s="228">
        <v>282.77700000000004</v>
      </c>
      <c r="M17" s="228">
        <f t="shared" si="4"/>
        <v>510.89700000000005</v>
      </c>
      <c r="N17" s="228">
        <v>240.14000000000001</v>
      </c>
      <c r="O17" s="228">
        <v>360.20000000000005</v>
      </c>
      <c r="P17" s="228">
        <f t="shared" si="5"/>
        <v>600.34</v>
      </c>
      <c r="Q17" s="228">
        <f t="shared" si="6"/>
        <v>-44.17738</v>
      </c>
      <c r="R17" s="228">
        <f t="shared" si="7"/>
        <v>-41.44099999999992</v>
      </c>
      <c r="S17" s="228">
        <f t="shared" si="8"/>
        <v>-85.61837999999989</v>
      </c>
      <c r="T17" s="14" t="s">
        <v>865</v>
      </c>
      <c r="U17" s="15">
        <v>3686</v>
      </c>
      <c r="V17" s="15">
        <v>3686</v>
      </c>
      <c r="X17" s="259">
        <f t="shared" si="9"/>
        <v>228.12</v>
      </c>
      <c r="Y17" s="12">
        <v>219.126</v>
      </c>
      <c r="Z17" s="259">
        <f t="shared" si="10"/>
        <v>8.994</v>
      </c>
    </row>
    <row r="18" spans="1:26" ht="13.5" customHeight="1">
      <c r="A18" s="14">
        <v>5</v>
      </c>
      <c r="B18" s="224" t="s">
        <v>835</v>
      </c>
      <c r="C18" s="15">
        <v>2269</v>
      </c>
      <c r="D18" s="15">
        <v>2099</v>
      </c>
      <c r="E18" s="228">
        <f t="shared" si="0"/>
        <v>136.14</v>
      </c>
      <c r="F18" s="15">
        <f t="shared" si="1"/>
        <v>204.21</v>
      </c>
      <c r="G18" s="228">
        <f t="shared" si="2"/>
        <v>340.35</v>
      </c>
      <c r="H18" s="228">
        <v>0.9189750000000063</v>
      </c>
      <c r="I18" s="228">
        <v>-7.685999999999993</v>
      </c>
      <c r="J18" s="228">
        <f t="shared" si="3"/>
        <v>-6.767024999999986</v>
      </c>
      <c r="K18" s="228">
        <v>136.14</v>
      </c>
      <c r="L18" s="228">
        <v>147.2537</v>
      </c>
      <c r="M18" s="228">
        <f t="shared" si="4"/>
        <v>283.39369999999997</v>
      </c>
      <c r="N18" s="228">
        <v>125.753</v>
      </c>
      <c r="O18" s="228">
        <v>139.5697</v>
      </c>
      <c r="P18" s="228">
        <f t="shared" si="5"/>
        <v>265.3227</v>
      </c>
      <c r="Q18" s="228">
        <f t="shared" si="6"/>
        <v>11.305975000000004</v>
      </c>
      <c r="R18" s="228">
        <f t="shared" si="7"/>
        <v>-0.0020000000000095497</v>
      </c>
      <c r="S18" s="228">
        <f t="shared" si="8"/>
        <v>11.30397499999998</v>
      </c>
      <c r="T18" s="14" t="s">
        <v>865</v>
      </c>
      <c r="U18" s="15">
        <v>2093</v>
      </c>
      <c r="V18" s="15">
        <v>2099</v>
      </c>
      <c r="X18" s="259">
        <f t="shared" si="9"/>
        <v>136.14</v>
      </c>
      <c r="Y18" s="12">
        <v>124.839</v>
      </c>
      <c r="Z18" s="259">
        <f t="shared" si="10"/>
        <v>11.300999999999988</v>
      </c>
    </row>
    <row r="19" spans="1:26" ht="13.5" customHeight="1">
      <c r="A19" s="14">
        <v>6</v>
      </c>
      <c r="B19" s="224" t="s">
        <v>836</v>
      </c>
      <c r="C19" s="15">
        <v>3680</v>
      </c>
      <c r="D19" s="15">
        <v>3467</v>
      </c>
      <c r="E19" s="228">
        <f t="shared" si="0"/>
        <v>220.8</v>
      </c>
      <c r="F19" s="15">
        <f t="shared" si="1"/>
        <v>331.2</v>
      </c>
      <c r="G19" s="228">
        <f t="shared" si="2"/>
        <v>552</v>
      </c>
      <c r="H19" s="228">
        <v>-185.027</v>
      </c>
      <c r="I19" s="228">
        <v>71.82600000000002</v>
      </c>
      <c r="J19" s="228">
        <f t="shared" si="3"/>
        <v>-113.20099999999996</v>
      </c>
      <c r="K19" s="228">
        <v>220.8</v>
      </c>
      <c r="L19" s="228">
        <v>236.48020000000002</v>
      </c>
      <c r="M19" s="228">
        <f t="shared" si="4"/>
        <v>457.28020000000004</v>
      </c>
      <c r="N19" s="228">
        <v>149.5837</v>
      </c>
      <c r="O19" s="228">
        <v>224.40125</v>
      </c>
      <c r="P19" s="228">
        <f t="shared" si="5"/>
        <v>373.98495</v>
      </c>
      <c r="Q19" s="228">
        <f t="shared" si="6"/>
        <v>-113.81069999999997</v>
      </c>
      <c r="R19" s="228">
        <f t="shared" si="7"/>
        <v>83.90495000000004</v>
      </c>
      <c r="S19" s="228">
        <f t="shared" si="8"/>
        <v>-29.905749999999955</v>
      </c>
      <c r="T19" s="14" t="s">
        <v>865</v>
      </c>
      <c r="U19" s="15">
        <v>3462</v>
      </c>
      <c r="V19" s="15">
        <v>3462</v>
      </c>
      <c r="X19" s="259">
        <f t="shared" si="9"/>
        <v>220.8</v>
      </c>
      <c r="Y19" s="12">
        <v>205.895</v>
      </c>
      <c r="Z19" s="259">
        <f t="shared" si="10"/>
        <v>14.905000000000001</v>
      </c>
    </row>
    <row r="20" spans="1:26" ht="13.5" customHeight="1">
      <c r="A20" s="14">
        <v>7</v>
      </c>
      <c r="B20" s="224" t="s">
        <v>837</v>
      </c>
      <c r="C20" s="15">
        <v>3032</v>
      </c>
      <c r="D20" s="15">
        <v>2850</v>
      </c>
      <c r="E20" s="228">
        <f t="shared" si="0"/>
        <v>181.92</v>
      </c>
      <c r="F20" s="15">
        <f t="shared" si="1"/>
        <v>272.88</v>
      </c>
      <c r="G20" s="228">
        <f t="shared" si="2"/>
        <v>454.79999999999995</v>
      </c>
      <c r="H20" s="228">
        <v>-83.32061999999999</v>
      </c>
      <c r="I20" s="228">
        <v>39.69999999999999</v>
      </c>
      <c r="J20" s="228">
        <f t="shared" si="3"/>
        <v>-43.62062</v>
      </c>
      <c r="K20" s="228">
        <v>181.92</v>
      </c>
      <c r="L20" s="228">
        <v>201.3776</v>
      </c>
      <c r="M20" s="228">
        <f t="shared" si="4"/>
        <v>383.2976</v>
      </c>
      <c r="N20" s="228">
        <v>170.76</v>
      </c>
      <c r="O20" s="228">
        <v>151.34000000000003</v>
      </c>
      <c r="P20" s="228">
        <f t="shared" si="5"/>
        <v>322.1</v>
      </c>
      <c r="Q20" s="228">
        <f t="shared" si="6"/>
        <v>-72.16062</v>
      </c>
      <c r="R20" s="228">
        <f t="shared" si="7"/>
        <v>89.73759999999996</v>
      </c>
      <c r="S20" s="228">
        <f t="shared" si="8"/>
        <v>17.576979999999935</v>
      </c>
      <c r="T20" s="14" t="s">
        <v>865</v>
      </c>
      <c r="U20" s="15">
        <v>2825</v>
      </c>
      <c r="V20" s="15">
        <v>2825</v>
      </c>
      <c r="X20" s="259">
        <f t="shared" si="9"/>
        <v>181.92</v>
      </c>
      <c r="Y20" s="12">
        <v>169.499</v>
      </c>
      <c r="Z20" s="259">
        <f t="shared" si="10"/>
        <v>12.420999999999992</v>
      </c>
    </row>
    <row r="21" spans="1:26" ht="13.5" customHeight="1">
      <c r="A21" s="14">
        <v>8</v>
      </c>
      <c r="B21" s="224" t="s">
        <v>838</v>
      </c>
      <c r="C21" s="15">
        <v>4015</v>
      </c>
      <c r="D21" s="15">
        <v>3717</v>
      </c>
      <c r="E21" s="228">
        <f t="shared" si="0"/>
        <v>240.9</v>
      </c>
      <c r="F21" s="15">
        <f t="shared" si="1"/>
        <v>361.35</v>
      </c>
      <c r="G21" s="228">
        <f t="shared" si="2"/>
        <v>602.25</v>
      </c>
      <c r="H21" s="228">
        <v>12.305404999999952</v>
      </c>
      <c r="I21" s="228">
        <v>181.97300000000004</v>
      </c>
      <c r="J21" s="228">
        <f t="shared" si="3"/>
        <v>194.278405</v>
      </c>
      <c r="K21" s="228">
        <v>240.9</v>
      </c>
      <c r="L21" s="228">
        <v>269.7764</v>
      </c>
      <c r="M21" s="228">
        <f t="shared" si="4"/>
        <v>510.67640000000006</v>
      </c>
      <c r="N21" s="228">
        <v>227.88000000000002</v>
      </c>
      <c r="O21" s="228">
        <v>342.69000000000005</v>
      </c>
      <c r="P21" s="228">
        <f t="shared" si="5"/>
        <v>570.57</v>
      </c>
      <c r="Q21" s="228">
        <f t="shared" si="6"/>
        <v>25.325404999999932</v>
      </c>
      <c r="R21" s="228">
        <f t="shared" si="7"/>
        <v>109.05939999999998</v>
      </c>
      <c r="S21" s="228">
        <f t="shared" si="8"/>
        <v>134.38480500000003</v>
      </c>
      <c r="T21" s="14" t="s">
        <v>865</v>
      </c>
      <c r="U21" s="15">
        <v>3717</v>
      </c>
      <c r="V21" s="15">
        <v>3650</v>
      </c>
      <c r="X21" s="259">
        <f t="shared" si="9"/>
        <v>240.9</v>
      </c>
      <c r="Y21" s="12">
        <v>221.032</v>
      </c>
      <c r="Z21" s="259">
        <f t="shared" si="10"/>
        <v>19.867999999999995</v>
      </c>
    </row>
    <row r="22" spans="1:26" ht="13.5" customHeight="1">
      <c r="A22" s="14">
        <v>9</v>
      </c>
      <c r="B22" s="224" t="s">
        <v>839</v>
      </c>
      <c r="C22" s="15">
        <v>5789</v>
      </c>
      <c r="D22" s="15">
        <v>5569</v>
      </c>
      <c r="E22" s="228">
        <f t="shared" si="0"/>
        <v>347.34</v>
      </c>
      <c r="F22" s="15">
        <f t="shared" si="1"/>
        <v>521.01</v>
      </c>
      <c r="G22" s="228">
        <f t="shared" si="2"/>
        <v>868.3499999999999</v>
      </c>
      <c r="H22" s="228">
        <v>-89.66855499999997</v>
      </c>
      <c r="I22" s="228">
        <v>147.43100000000004</v>
      </c>
      <c r="J22" s="228">
        <f t="shared" si="3"/>
        <v>57.76244500000007</v>
      </c>
      <c r="K22" s="228">
        <v>347.34</v>
      </c>
      <c r="L22" s="228">
        <v>392.7935</v>
      </c>
      <c r="M22" s="228">
        <f t="shared" si="4"/>
        <v>740.1334999999999</v>
      </c>
      <c r="N22" s="228">
        <v>333.65500000000003</v>
      </c>
      <c r="O22" s="228">
        <v>420.63</v>
      </c>
      <c r="P22" s="228">
        <f t="shared" si="5"/>
        <v>754.2850000000001</v>
      </c>
      <c r="Q22" s="228">
        <f t="shared" si="6"/>
        <v>-75.98355500000002</v>
      </c>
      <c r="R22" s="228">
        <f t="shared" si="7"/>
        <v>119.59450000000004</v>
      </c>
      <c r="S22" s="228">
        <f t="shared" si="8"/>
        <v>43.6109449999999</v>
      </c>
      <c r="T22" s="14" t="s">
        <v>865</v>
      </c>
      <c r="U22" s="15">
        <v>5198</v>
      </c>
      <c r="V22" s="15">
        <v>5214</v>
      </c>
      <c r="X22" s="259">
        <f t="shared" si="9"/>
        <v>347.34</v>
      </c>
      <c r="Y22" s="12">
        <v>331.209</v>
      </c>
      <c r="Z22" s="259">
        <f t="shared" si="10"/>
        <v>16.130999999999972</v>
      </c>
    </row>
    <row r="23" spans="1:26" ht="13.5" customHeight="1">
      <c r="A23" s="14">
        <v>10</v>
      </c>
      <c r="B23" s="224" t="s">
        <v>840</v>
      </c>
      <c r="C23" s="15">
        <v>2723</v>
      </c>
      <c r="D23" s="15">
        <v>2600</v>
      </c>
      <c r="E23" s="228">
        <f t="shared" si="0"/>
        <v>163.38</v>
      </c>
      <c r="F23" s="15">
        <f t="shared" si="1"/>
        <v>245.07</v>
      </c>
      <c r="G23" s="228">
        <f t="shared" si="2"/>
        <v>408.45</v>
      </c>
      <c r="H23" s="228">
        <v>1.1020250000000507</v>
      </c>
      <c r="I23" s="228">
        <v>-0.5870000000000175</v>
      </c>
      <c r="J23" s="228">
        <f t="shared" si="3"/>
        <v>0.5150250000000332</v>
      </c>
      <c r="K23" s="228">
        <v>163.38</v>
      </c>
      <c r="L23" s="228">
        <v>176.50650000000002</v>
      </c>
      <c r="M23" s="228">
        <f t="shared" si="4"/>
        <v>339.8865</v>
      </c>
      <c r="N23" s="228">
        <v>155.76</v>
      </c>
      <c r="O23" s="228">
        <v>175.92</v>
      </c>
      <c r="P23" s="228">
        <f t="shared" si="5"/>
        <v>331.67999999999995</v>
      </c>
      <c r="Q23" s="228">
        <f t="shared" si="6"/>
        <v>8.722025000000059</v>
      </c>
      <c r="R23" s="228">
        <f t="shared" si="7"/>
        <v>-0.0004999999999881766</v>
      </c>
      <c r="S23" s="228">
        <f t="shared" si="8"/>
        <v>8.7215250000001</v>
      </c>
      <c r="T23" s="14" t="s">
        <v>865</v>
      </c>
      <c r="U23" s="15">
        <v>2450</v>
      </c>
      <c r="V23" s="15">
        <v>2452</v>
      </c>
      <c r="X23" s="259">
        <f t="shared" si="9"/>
        <v>163.38</v>
      </c>
      <c r="Y23" s="12">
        <v>154.659</v>
      </c>
      <c r="Z23" s="259">
        <f t="shared" si="10"/>
        <v>8.721000000000004</v>
      </c>
    </row>
    <row r="24" spans="1:26" ht="13.5" customHeight="1">
      <c r="A24" s="14">
        <v>11</v>
      </c>
      <c r="B24" s="224" t="s">
        <v>841</v>
      </c>
      <c r="C24" s="15">
        <v>3659</v>
      </c>
      <c r="D24" s="15">
        <v>3429</v>
      </c>
      <c r="E24" s="228">
        <f t="shared" si="0"/>
        <v>219.54</v>
      </c>
      <c r="F24" s="15">
        <f t="shared" si="1"/>
        <v>329.31</v>
      </c>
      <c r="G24" s="228">
        <f t="shared" si="2"/>
        <v>548.85</v>
      </c>
      <c r="H24" s="228">
        <v>48.88502500000002</v>
      </c>
      <c r="I24" s="228">
        <v>-8.493499999999955</v>
      </c>
      <c r="J24" s="228">
        <f t="shared" si="3"/>
        <v>40.391525000000065</v>
      </c>
      <c r="K24" s="228">
        <v>219.54</v>
      </c>
      <c r="L24" s="228">
        <v>242.28930000000003</v>
      </c>
      <c r="M24" s="228">
        <f t="shared" si="4"/>
        <v>461.8293</v>
      </c>
      <c r="N24" s="228">
        <v>205.74</v>
      </c>
      <c r="O24" s="228">
        <v>308.61</v>
      </c>
      <c r="P24" s="228">
        <f t="shared" si="5"/>
        <v>514.35</v>
      </c>
      <c r="Q24" s="228">
        <f t="shared" si="6"/>
        <v>62.685024999999996</v>
      </c>
      <c r="R24" s="228">
        <f t="shared" si="7"/>
        <v>-74.81419999999994</v>
      </c>
      <c r="S24" s="228">
        <f t="shared" si="8"/>
        <v>-12.129174999999975</v>
      </c>
      <c r="T24" s="14" t="s">
        <v>865</v>
      </c>
      <c r="U24" s="15">
        <v>3429</v>
      </c>
      <c r="V24" s="15">
        <v>3429</v>
      </c>
      <c r="X24" s="259">
        <f t="shared" si="9"/>
        <v>219.54</v>
      </c>
      <c r="Y24" s="12">
        <v>174.427</v>
      </c>
      <c r="Z24" s="259">
        <f t="shared" si="10"/>
        <v>45.113</v>
      </c>
    </row>
    <row r="25" spans="1:26" ht="13.5" customHeight="1">
      <c r="A25" s="14">
        <v>12</v>
      </c>
      <c r="B25" s="224" t="s">
        <v>842</v>
      </c>
      <c r="C25" s="15">
        <v>3694</v>
      </c>
      <c r="D25" s="15">
        <v>3445</v>
      </c>
      <c r="E25" s="228">
        <f t="shared" si="0"/>
        <v>221.64</v>
      </c>
      <c r="F25" s="15">
        <f t="shared" si="1"/>
        <v>332.46</v>
      </c>
      <c r="G25" s="228">
        <f t="shared" si="2"/>
        <v>554.0999999999999</v>
      </c>
      <c r="H25" s="228">
        <v>-19.744140000000023</v>
      </c>
      <c r="I25" s="228">
        <v>274.01</v>
      </c>
      <c r="J25" s="228">
        <f t="shared" si="3"/>
        <v>254.26585999999998</v>
      </c>
      <c r="K25" s="228">
        <v>221.64</v>
      </c>
      <c r="L25" s="228">
        <v>251.9699</v>
      </c>
      <c r="M25" s="228">
        <f t="shared" si="4"/>
        <v>473.6099</v>
      </c>
      <c r="N25" s="228">
        <v>252.22400000000002</v>
      </c>
      <c r="O25" s="228">
        <v>374.3905</v>
      </c>
      <c r="P25" s="228">
        <f t="shared" si="5"/>
        <v>626.6145</v>
      </c>
      <c r="Q25" s="228">
        <f t="shared" si="6"/>
        <v>-50.32814000000005</v>
      </c>
      <c r="R25" s="228">
        <f t="shared" si="7"/>
        <v>151.58940000000007</v>
      </c>
      <c r="S25" s="228">
        <f t="shared" si="8"/>
        <v>101.26125999999988</v>
      </c>
      <c r="T25" s="14" t="s">
        <v>865</v>
      </c>
      <c r="U25" s="15">
        <v>3445</v>
      </c>
      <c r="V25" s="15">
        <v>3445</v>
      </c>
      <c r="X25" s="259">
        <f t="shared" si="9"/>
        <v>221.64</v>
      </c>
      <c r="Y25" s="12">
        <v>204.85</v>
      </c>
      <c r="Z25" s="259">
        <f t="shared" si="10"/>
        <v>16.789999999999992</v>
      </c>
    </row>
    <row r="26" spans="1:26" ht="13.5" customHeight="1">
      <c r="A26" s="14">
        <v>13</v>
      </c>
      <c r="B26" s="224" t="s">
        <v>843</v>
      </c>
      <c r="C26" s="15">
        <v>1815</v>
      </c>
      <c r="D26" s="15">
        <v>1738</v>
      </c>
      <c r="E26" s="228">
        <f t="shared" si="0"/>
        <v>108.9</v>
      </c>
      <c r="F26" s="15">
        <f t="shared" si="1"/>
        <v>163.35</v>
      </c>
      <c r="G26" s="228">
        <f t="shared" si="2"/>
        <v>272.25</v>
      </c>
      <c r="H26" s="228">
        <v>-9.978054999999966</v>
      </c>
      <c r="I26" s="228">
        <v>59.32800000000002</v>
      </c>
      <c r="J26" s="228">
        <f t="shared" si="3"/>
        <v>49.34994500000005</v>
      </c>
      <c r="K26" s="228">
        <v>108.9</v>
      </c>
      <c r="L26" s="228">
        <v>122.8056</v>
      </c>
      <c r="M26" s="228">
        <f t="shared" si="4"/>
        <v>231.7056</v>
      </c>
      <c r="N26" s="228">
        <v>100.89600000000002</v>
      </c>
      <c r="O26" s="228">
        <v>153.36</v>
      </c>
      <c r="P26" s="228">
        <f t="shared" si="5"/>
        <v>254.25600000000003</v>
      </c>
      <c r="Q26" s="228">
        <f t="shared" si="6"/>
        <v>-1.9740549999999786</v>
      </c>
      <c r="R26" s="228">
        <f t="shared" si="7"/>
        <v>28.773599999999988</v>
      </c>
      <c r="S26" s="228">
        <f t="shared" si="8"/>
        <v>26.799545000000023</v>
      </c>
      <c r="T26" s="14" t="s">
        <v>865</v>
      </c>
      <c r="U26" s="15">
        <v>1704</v>
      </c>
      <c r="V26" s="15">
        <v>1696</v>
      </c>
      <c r="X26" s="259">
        <f t="shared" si="9"/>
        <v>108.9</v>
      </c>
      <c r="Y26" s="12">
        <v>103.364</v>
      </c>
      <c r="Z26" s="259">
        <f t="shared" si="10"/>
        <v>5.536000000000001</v>
      </c>
    </row>
    <row r="27" spans="1:26" ht="13.5" customHeight="1">
      <c r="A27" s="14">
        <v>14</v>
      </c>
      <c r="B27" s="224" t="s">
        <v>844</v>
      </c>
      <c r="C27" s="15">
        <v>1721</v>
      </c>
      <c r="D27" s="15">
        <v>1506</v>
      </c>
      <c r="E27" s="228">
        <f t="shared" si="0"/>
        <v>103.26</v>
      </c>
      <c r="F27" s="15">
        <f t="shared" si="1"/>
        <v>154.89</v>
      </c>
      <c r="G27" s="228">
        <f t="shared" si="2"/>
        <v>258.15</v>
      </c>
      <c r="H27" s="228">
        <v>-23.148924999999995</v>
      </c>
      <c r="I27" s="228">
        <v>1.6371029999999998</v>
      </c>
      <c r="J27" s="228">
        <f t="shared" si="3"/>
        <v>-21.511821999999995</v>
      </c>
      <c r="K27" s="228">
        <v>103.26</v>
      </c>
      <c r="L27" s="228">
        <v>114.53800000000001</v>
      </c>
      <c r="M27" s="228">
        <f t="shared" si="4"/>
        <v>217.798</v>
      </c>
      <c r="N27" s="228">
        <v>90.92799999999998</v>
      </c>
      <c r="O27" s="228">
        <v>136.39249999999998</v>
      </c>
      <c r="P27" s="228">
        <f t="shared" si="5"/>
        <v>227.32049999999998</v>
      </c>
      <c r="Q27" s="228">
        <f t="shared" si="6"/>
        <v>-10.81692499999997</v>
      </c>
      <c r="R27" s="228">
        <f t="shared" si="7"/>
        <v>-20.217396999999977</v>
      </c>
      <c r="S27" s="228">
        <f t="shared" si="8"/>
        <v>-31.034321999999975</v>
      </c>
      <c r="T27" s="14" t="s">
        <v>865</v>
      </c>
      <c r="U27" s="15">
        <v>1506</v>
      </c>
      <c r="V27" s="15">
        <v>1506</v>
      </c>
      <c r="X27" s="259">
        <f t="shared" si="9"/>
        <v>103.26</v>
      </c>
      <c r="Y27" s="12">
        <v>89.533</v>
      </c>
      <c r="Z27" s="259">
        <f t="shared" si="10"/>
        <v>13.727000000000004</v>
      </c>
    </row>
    <row r="28" spans="1:26" ht="13.5" customHeight="1">
      <c r="A28" s="14">
        <v>15</v>
      </c>
      <c r="B28" s="224" t="s">
        <v>845</v>
      </c>
      <c r="C28" s="15">
        <v>4213</v>
      </c>
      <c r="D28" s="15">
        <v>3918</v>
      </c>
      <c r="E28" s="228">
        <f t="shared" si="0"/>
        <v>252.78</v>
      </c>
      <c r="F28" s="15">
        <f t="shared" si="1"/>
        <v>379.17</v>
      </c>
      <c r="G28" s="228">
        <f t="shared" si="2"/>
        <v>631.95</v>
      </c>
      <c r="H28" s="228">
        <v>-17.406455000000072</v>
      </c>
      <c r="I28" s="228">
        <v>158.15</v>
      </c>
      <c r="J28" s="228">
        <f t="shared" si="3"/>
        <v>140.74354499999993</v>
      </c>
      <c r="K28" s="228">
        <v>252.78</v>
      </c>
      <c r="L28" s="228">
        <v>306.6601</v>
      </c>
      <c r="M28" s="228">
        <f t="shared" si="4"/>
        <v>559.4401</v>
      </c>
      <c r="N28" s="228">
        <v>278.81</v>
      </c>
      <c r="O28" s="228">
        <v>311.5</v>
      </c>
      <c r="P28" s="228">
        <f t="shared" si="5"/>
        <v>590.31</v>
      </c>
      <c r="Q28" s="228">
        <f t="shared" si="6"/>
        <v>-43.43645500000008</v>
      </c>
      <c r="R28" s="228">
        <f t="shared" si="7"/>
        <v>153.31010000000003</v>
      </c>
      <c r="S28" s="228">
        <f t="shared" si="8"/>
        <v>109.87364500000001</v>
      </c>
      <c r="T28" s="14" t="s">
        <v>865</v>
      </c>
      <c r="U28" s="15">
        <v>3800</v>
      </c>
      <c r="V28" s="15">
        <v>3759</v>
      </c>
      <c r="X28" s="259">
        <f t="shared" si="9"/>
        <v>252.78</v>
      </c>
      <c r="Y28" s="12">
        <v>232.892</v>
      </c>
      <c r="Z28" s="259">
        <f t="shared" si="10"/>
        <v>19.888000000000005</v>
      </c>
    </row>
    <row r="29" spans="1:26" ht="13.5" customHeight="1">
      <c r="A29" s="14">
        <v>16</v>
      </c>
      <c r="B29" s="224" t="s">
        <v>846</v>
      </c>
      <c r="C29" s="15">
        <v>7059</v>
      </c>
      <c r="D29" s="15">
        <v>6959</v>
      </c>
      <c r="E29" s="228">
        <f t="shared" si="0"/>
        <v>423.54</v>
      </c>
      <c r="F29" s="15">
        <f t="shared" si="1"/>
        <v>635.31</v>
      </c>
      <c r="G29" s="228">
        <f t="shared" si="2"/>
        <v>1058.85</v>
      </c>
      <c r="H29" s="228">
        <v>-48.96654499999993</v>
      </c>
      <c r="I29" s="228">
        <v>174.03399999999993</v>
      </c>
      <c r="J29" s="228">
        <f t="shared" si="3"/>
        <v>125.067455</v>
      </c>
      <c r="K29" s="228">
        <v>423.54</v>
      </c>
      <c r="L29" s="228">
        <v>491.716</v>
      </c>
      <c r="M29" s="228">
        <f t="shared" si="4"/>
        <v>915.2560000000001</v>
      </c>
      <c r="N29" s="228">
        <v>402.86</v>
      </c>
      <c r="O29" s="228">
        <v>554.1800000000001</v>
      </c>
      <c r="P29" s="228">
        <f t="shared" si="5"/>
        <v>957.0400000000001</v>
      </c>
      <c r="Q29" s="228">
        <f t="shared" si="6"/>
        <v>-28.286544999999933</v>
      </c>
      <c r="R29" s="228">
        <f t="shared" si="7"/>
        <v>111.56999999999994</v>
      </c>
      <c r="S29" s="228">
        <f t="shared" si="8"/>
        <v>83.28345500000012</v>
      </c>
      <c r="T29" s="14" t="s">
        <v>865</v>
      </c>
      <c r="U29" s="15">
        <v>6675</v>
      </c>
      <c r="V29" s="15">
        <v>6653</v>
      </c>
      <c r="X29" s="259">
        <f t="shared" si="9"/>
        <v>423.54</v>
      </c>
      <c r="Y29" s="12">
        <v>413.873</v>
      </c>
      <c r="Z29" s="259">
        <f t="shared" si="10"/>
        <v>9.66700000000003</v>
      </c>
    </row>
    <row r="30" spans="1:26" ht="13.5" customHeight="1">
      <c r="A30" s="14">
        <v>17</v>
      </c>
      <c r="B30" s="224" t="s">
        <v>847</v>
      </c>
      <c r="C30" s="15">
        <v>4015</v>
      </c>
      <c r="D30" s="15">
        <v>3823</v>
      </c>
      <c r="E30" s="228">
        <f t="shared" si="0"/>
        <v>240.9</v>
      </c>
      <c r="F30" s="15">
        <f t="shared" si="1"/>
        <v>361.35</v>
      </c>
      <c r="G30" s="228">
        <f t="shared" si="2"/>
        <v>602.25</v>
      </c>
      <c r="H30" s="228">
        <v>-128.06305500000005</v>
      </c>
      <c r="I30" s="228">
        <v>139.61</v>
      </c>
      <c r="J30" s="228">
        <f t="shared" si="3"/>
        <v>11.546944999999965</v>
      </c>
      <c r="K30" s="228">
        <v>240.9</v>
      </c>
      <c r="L30" s="228">
        <v>271.33050000000003</v>
      </c>
      <c r="M30" s="228">
        <f t="shared" si="4"/>
        <v>512.2305</v>
      </c>
      <c r="N30" s="228">
        <v>256.19</v>
      </c>
      <c r="O30" s="228">
        <v>344.07</v>
      </c>
      <c r="P30" s="228">
        <f t="shared" si="5"/>
        <v>600.26</v>
      </c>
      <c r="Q30" s="228">
        <f t="shared" si="6"/>
        <v>-143.35305500000004</v>
      </c>
      <c r="R30" s="228">
        <f t="shared" si="7"/>
        <v>66.87050000000005</v>
      </c>
      <c r="S30" s="228">
        <f t="shared" si="8"/>
        <v>-76.48255500000005</v>
      </c>
      <c r="T30" s="14" t="s">
        <v>865</v>
      </c>
      <c r="U30" s="15">
        <v>3789</v>
      </c>
      <c r="V30" s="15">
        <v>3823</v>
      </c>
      <c r="X30" s="259">
        <f t="shared" si="9"/>
        <v>240.9</v>
      </c>
      <c r="Y30" s="12">
        <v>227.361</v>
      </c>
      <c r="Z30" s="259">
        <f t="shared" si="10"/>
        <v>13.539000000000016</v>
      </c>
    </row>
    <row r="31" spans="1:26" ht="13.5" customHeight="1">
      <c r="A31" s="14">
        <v>18</v>
      </c>
      <c r="B31" s="224" t="s">
        <v>848</v>
      </c>
      <c r="C31" s="15">
        <v>4002</v>
      </c>
      <c r="D31" s="15">
        <v>3862</v>
      </c>
      <c r="E31" s="228">
        <f t="shared" si="0"/>
        <v>240.12</v>
      </c>
      <c r="F31" s="15">
        <f t="shared" si="1"/>
        <v>360.18</v>
      </c>
      <c r="G31" s="228">
        <f t="shared" si="2"/>
        <v>600.3</v>
      </c>
      <c r="H31" s="228">
        <v>1.7250400000000128</v>
      </c>
      <c r="I31" s="228">
        <v>-61.56200000000001</v>
      </c>
      <c r="J31" s="228">
        <f t="shared" si="3"/>
        <v>-59.83696</v>
      </c>
      <c r="K31" s="228">
        <v>240.12</v>
      </c>
      <c r="L31" s="228">
        <v>276.2761</v>
      </c>
      <c r="M31" s="228">
        <f t="shared" si="4"/>
        <v>516.3960999999999</v>
      </c>
      <c r="N31" s="228">
        <v>231.34</v>
      </c>
      <c r="O31" s="228">
        <v>276.275</v>
      </c>
      <c r="P31" s="228">
        <f t="shared" si="5"/>
        <v>507.615</v>
      </c>
      <c r="Q31" s="228">
        <f t="shared" si="6"/>
        <v>10.505040000000008</v>
      </c>
      <c r="R31" s="228">
        <f t="shared" si="7"/>
        <v>-61.560900000000004</v>
      </c>
      <c r="S31" s="228">
        <f t="shared" si="8"/>
        <v>-51.05586000000005</v>
      </c>
      <c r="T31" s="14" t="s">
        <v>865</v>
      </c>
      <c r="U31" s="15">
        <v>3861</v>
      </c>
      <c r="V31" s="15">
        <v>3861</v>
      </c>
      <c r="X31" s="259">
        <f t="shared" si="9"/>
        <v>240.12</v>
      </c>
      <c r="Y31" s="12">
        <v>229.611</v>
      </c>
      <c r="Z31" s="259">
        <f t="shared" si="10"/>
        <v>10.509000000000015</v>
      </c>
    </row>
    <row r="32" spans="1:26" ht="13.5" customHeight="1">
      <c r="A32" s="14">
        <v>19</v>
      </c>
      <c r="B32" s="224" t="s">
        <v>849</v>
      </c>
      <c r="C32" s="15">
        <v>4858</v>
      </c>
      <c r="D32" s="15">
        <v>4640</v>
      </c>
      <c r="E32" s="228">
        <f t="shared" si="0"/>
        <v>291.48</v>
      </c>
      <c r="F32" s="15">
        <f t="shared" si="1"/>
        <v>437.22</v>
      </c>
      <c r="G32" s="228">
        <f t="shared" si="2"/>
        <v>728.7</v>
      </c>
      <c r="H32" s="228">
        <v>-37.47341000000009</v>
      </c>
      <c r="I32" s="228">
        <v>105.23999999999998</v>
      </c>
      <c r="J32" s="228">
        <f t="shared" si="3"/>
        <v>67.7665899999999</v>
      </c>
      <c r="K32" s="228">
        <v>291.48</v>
      </c>
      <c r="L32" s="228">
        <v>327.8578</v>
      </c>
      <c r="M32" s="228">
        <f t="shared" si="4"/>
        <v>619.3378</v>
      </c>
      <c r="N32" s="228">
        <v>309.71599999999995</v>
      </c>
      <c r="O32" s="228">
        <v>247.07999999999998</v>
      </c>
      <c r="P32" s="228">
        <f t="shared" si="5"/>
        <v>556.7959999999999</v>
      </c>
      <c r="Q32" s="228">
        <f t="shared" si="6"/>
        <v>-55.70941000000002</v>
      </c>
      <c r="R32" s="228">
        <f t="shared" si="7"/>
        <v>186.01780000000002</v>
      </c>
      <c r="S32" s="228">
        <f t="shared" si="8"/>
        <v>130.30839000000003</v>
      </c>
      <c r="T32" s="14" t="s">
        <v>865</v>
      </c>
      <c r="U32" s="15">
        <v>4640</v>
      </c>
      <c r="V32" s="15">
        <v>4640</v>
      </c>
      <c r="X32" s="259">
        <f t="shared" si="9"/>
        <v>291.48</v>
      </c>
      <c r="Y32" s="12">
        <v>275.955</v>
      </c>
      <c r="Z32" s="259">
        <f t="shared" si="10"/>
        <v>15.525000000000034</v>
      </c>
    </row>
    <row r="33" spans="1:26" ht="13.5" customHeight="1">
      <c r="A33" s="14">
        <v>20</v>
      </c>
      <c r="B33" s="224" t="s">
        <v>850</v>
      </c>
      <c r="C33" s="15">
        <v>2470</v>
      </c>
      <c r="D33" s="15">
        <v>2237</v>
      </c>
      <c r="E33" s="228">
        <f t="shared" si="0"/>
        <v>148.2</v>
      </c>
      <c r="F33" s="15">
        <f t="shared" si="1"/>
        <v>222.3</v>
      </c>
      <c r="G33" s="228">
        <f t="shared" si="2"/>
        <v>370.5</v>
      </c>
      <c r="H33" s="228">
        <v>-26.727869999999964</v>
      </c>
      <c r="I33" s="228">
        <v>61.03199999999998</v>
      </c>
      <c r="J33" s="228">
        <f t="shared" si="3"/>
        <v>34.304130000000015</v>
      </c>
      <c r="K33" s="228">
        <v>148.2</v>
      </c>
      <c r="L33" s="228">
        <v>158.06349999999998</v>
      </c>
      <c r="M33" s="228">
        <f t="shared" si="4"/>
        <v>306.26349999999996</v>
      </c>
      <c r="N33" s="228">
        <v>113.4</v>
      </c>
      <c r="O33" s="228">
        <v>192.46000000000004</v>
      </c>
      <c r="P33" s="228">
        <f t="shared" si="5"/>
        <v>305.86</v>
      </c>
      <c r="Q33" s="228">
        <f t="shared" si="6"/>
        <v>8.072130000000016</v>
      </c>
      <c r="R33" s="228">
        <f t="shared" si="7"/>
        <v>26.635499999999922</v>
      </c>
      <c r="S33" s="228">
        <f t="shared" si="8"/>
        <v>34.707629999999995</v>
      </c>
      <c r="T33" s="14" t="s">
        <v>865</v>
      </c>
      <c r="U33" s="15">
        <v>2204</v>
      </c>
      <c r="V33" s="15">
        <v>2237</v>
      </c>
      <c r="X33" s="259">
        <f t="shared" si="9"/>
        <v>148.2</v>
      </c>
      <c r="Y33" s="12">
        <v>133.041</v>
      </c>
      <c r="Z33" s="259">
        <f t="shared" si="10"/>
        <v>15.158999999999992</v>
      </c>
    </row>
    <row r="34" spans="1:26" ht="13.5" customHeight="1">
      <c r="A34" s="14">
        <v>21</v>
      </c>
      <c r="B34" s="224" t="s">
        <v>851</v>
      </c>
      <c r="C34" s="15">
        <v>3358</v>
      </c>
      <c r="D34" s="15">
        <v>3185</v>
      </c>
      <c r="E34" s="228">
        <f t="shared" si="0"/>
        <v>201.48</v>
      </c>
      <c r="F34" s="15">
        <f t="shared" si="1"/>
        <v>302.22</v>
      </c>
      <c r="G34" s="228">
        <f t="shared" si="2"/>
        <v>503.70000000000005</v>
      </c>
      <c r="H34" s="228">
        <v>27.40530999999995</v>
      </c>
      <c r="I34" s="228">
        <v>7.847999999999985</v>
      </c>
      <c r="J34" s="228">
        <f t="shared" si="3"/>
        <v>35.253309999999935</v>
      </c>
      <c r="K34" s="228">
        <v>201.48</v>
      </c>
      <c r="L34" s="228">
        <v>225.9678</v>
      </c>
      <c r="M34" s="228">
        <f t="shared" si="4"/>
        <v>427.44780000000003</v>
      </c>
      <c r="N34" s="228">
        <v>230.78</v>
      </c>
      <c r="O34" s="228">
        <v>304.26</v>
      </c>
      <c r="P34" s="228">
        <f t="shared" si="5"/>
        <v>535.04</v>
      </c>
      <c r="Q34" s="228">
        <f t="shared" si="6"/>
        <v>-1.894690000000054</v>
      </c>
      <c r="R34" s="228">
        <f t="shared" si="7"/>
        <v>-70.4442</v>
      </c>
      <c r="S34" s="228">
        <f t="shared" si="8"/>
        <v>-72.33888999999999</v>
      </c>
      <c r="T34" s="14" t="s">
        <v>865</v>
      </c>
      <c r="U34" s="15">
        <v>3185</v>
      </c>
      <c r="V34" s="15">
        <v>3185</v>
      </c>
      <c r="X34" s="259">
        <f t="shared" si="9"/>
        <v>201.48</v>
      </c>
      <c r="Y34" s="12">
        <v>189.417</v>
      </c>
      <c r="Z34" s="259">
        <f t="shared" si="10"/>
        <v>12.062999999999988</v>
      </c>
    </row>
    <row r="35" spans="1:26" ht="13.5" customHeight="1">
      <c r="A35" s="14">
        <v>22</v>
      </c>
      <c r="B35" s="224" t="s">
        <v>852</v>
      </c>
      <c r="C35" s="15">
        <v>2297</v>
      </c>
      <c r="D35" s="15">
        <v>2030</v>
      </c>
      <c r="E35" s="228">
        <f t="shared" si="0"/>
        <v>137.82</v>
      </c>
      <c r="F35" s="15">
        <f t="shared" si="1"/>
        <v>206.73</v>
      </c>
      <c r="G35" s="228">
        <f t="shared" si="2"/>
        <v>344.54999999999995</v>
      </c>
      <c r="H35" s="228">
        <v>0.903955</v>
      </c>
      <c r="I35" s="228">
        <v>0</v>
      </c>
      <c r="J35" s="228">
        <f t="shared" si="3"/>
        <v>0.903955</v>
      </c>
      <c r="K35" s="228">
        <v>137.82</v>
      </c>
      <c r="L35" s="228">
        <v>144.7799</v>
      </c>
      <c r="M35" s="228">
        <f t="shared" si="4"/>
        <v>282.5999</v>
      </c>
      <c r="N35" s="228">
        <v>139.75</v>
      </c>
      <c r="O35" s="228">
        <v>48.99999999999999</v>
      </c>
      <c r="P35" s="228">
        <f t="shared" si="5"/>
        <v>188.75</v>
      </c>
      <c r="Q35" s="228">
        <f t="shared" si="6"/>
        <v>-1.0260450000000105</v>
      </c>
      <c r="R35" s="228">
        <f t="shared" si="7"/>
        <v>95.7799</v>
      </c>
      <c r="S35" s="228">
        <f t="shared" si="8"/>
        <v>94.75385499999999</v>
      </c>
      <c r="T35" s="14" t="s">
        <v>865</v>
      </c>
      <c r="U35" s="15">
        <v>2030</v>
      </c>
      <c r="V35" s="15">
        <v>2030</v>
      </c>
      <c r="X35" s="259">
        <f t="shared" si="9"/>
        <v>137.82</v>
      </c>
      <c r="Y35" s="12">
        <v>120.725</v>
      </c>
      <c r="Z35" s="259">
        <f t="shared" si="10"/>
        <v>17.095</v>
      </c>
    </row>
    <row r="36" spans="1:26" ht="13.5" customHeight="1">
      <c r="A36" s="14">
        <v>23</v>
      </c>
      <c r="B36" s="224" t="s">
        <v>853</v>
      </c>
      <c r="C36" s="15">
        <v>3475</v>
      </c>
      <c r="D36" s="15">
        <v>3210</v>
      </c>
      <c r="E36" s="228">
        <f t="shared" si="0"/>
        <v>208.5</v>
      </c>
      <c r="F36" s="15">
        <f t="shared" si="1"/>
        <v>312.75</v>
      </c>
      <c r="G36" s="228">
        <f t="shared" si="2"/>
        <v>521.25</v>
      </c>
      <c r="H36" s="228">
        <v>25.017415</v>
      </c>
      <c r="I36" s="228">
        <v>28.599999999999966</v>
      </c>
      <c r="J36" s="228">
        <f t="shared" si="3"/>
        <v>53.617414999999966</v>
      </c>
      <c r="K36" s="228">
        <v>208.5</v>
      </c>
      <c r="L36" s="228">
        <v>228.935</v>
      </c>
      <c r="M36" s="228">
        <f t="shared" si="4"/>
        <v>437.435</v>
      </c>
      <c r="N36" s="228">
        <v>192.60000000000002</v>
      </c>
      <c r="O36" s="228">
        <v>375.57</v>
      </c>
      <c r="P36" s="228">
        <f t="shared" si="5"/>
        <v>568.1700000000001</v>
      </c>
      <c r="Q36" s="228">
        <f t="shared" si="6"/>
        <v>40.91741499999998</v>
      </c>
      <c r="R36" s="228">
        <f t="shared" si="7"/>
        <v>-118.03500000000003</v>
      </c>
      <c r="S36" s="228">
        <f t="shared" si="8"/>
        <v>-77.11758500000008</v>
      </c>
      <c r="T36" s="14" t="s">
        <v>865</v>
      </c>
      <c r="U36" s="15">
        <v>3198</v>
      </c>
      <c r="V36" s="15">
        <v>3210</v>
      </c>
      <c r="X36" s="259">
        <f t="shared" si="9"/>
        <v>208.5</v>
      </c>
      <c r="Y36" s="12">
        <v>163.738</v>
      </c>
      <c r="Z36" s="259">
        <f t="shared" si="10"/>
        <v>44.762</v>
      </c>
    </row>
    <row r="37" spans="1:26" ht="13.5" customHeight="1">
      <c r="A37" s="14">
        <v>24</v>
      </c>
      <c r="B37" s="224" t="s">
        <v>854</v>
      </c>
      <c r="C37" s="15">
        <v>4480</v>
      </c>
      <c r="D37" s="15">
        <v>4242</v>
      </c>
      <c r="E37" s="228">
        <f t="shared" si="0"/>
        <v>268.8</v>
      </c>
      <c r="F37" s="15">
        <f t="shared" si="1"/>
        <v>403.2</v>
      </c>
      <c r="G37" s="228">
        <f t="shared" si="2"/>
        <v>672</v>
      </c>
      <c r="H37" s="228">
        <v>1.8710399999999843</v>
      </c>
      <c r="I37" s="228">
        <v>-32.488</v>
      </c>
      <c r="J37" s="228">
        <f t="shared" si="3"/>
        <v>-30.616960000000017</v>
      </c>
      <c r="K37" s="228">
        <v>268.8</v>
      </c>
      <c r="L37" s="228">
        <v>299.7341</v>
      </c>
      <c r="M37" s="228">
        <f t="shared" si="4"/>
        <v>568.5341000000001</v>
      </c>
      <c r="N37" s="228">
        <v>267.25</v>
      </c>
      <c r="O37" s="228">
        <v>267.24</v>
      </c>
      <c r="P37" s="228">
        <f t="shared" si="5"/>
        <v>534.49</v>
      </c>
      <c r="Q37" s="228">
        <f t="shared" si="6"/>
        <v>3.421040000000005</v>
      </c>
      <c r="R37" s="228">
        <f t="shared" si="7"/>
        <v>0.006100000000003547</v>
      </c>
      <c r="S37" s="228">
        <f t="shared" si="8"/>
        <v>3.4271400000000085</v>
      </c>
      <c r="T37" s="14" t="s">
        <v>865</v>
      </c>
      <c r="U37" s="15">
        <v>4242</v>
      </c>
      <c r="V37" s="15">
        <v>4242</v>
      </c>
      <c r="X37" s="259">
        <f t="shared" si="9"/>
        <v>268.8</v>
      </c>
      <c r="Y37" s="12">
        <v>252.285</v>
      </c>
      <c r="Z37" s="259">
        <f t="shared" si="10"/>
        <v>16.515000000000015</v>
      </c>
    </row>
    <row r="38" spans="1:26" s="11" customFormat="1" ht="13.5" customHeight="1">
      <c r="A38" s="560" t="s">
        <v>13</v>
      </c>
      <c r="B38" s="561"/>
      <c r="C38" s="23">
        <f>SUM(C14:C37)</f>
        <v>85066</v>
      </c>
      <c r="D38" s="23">
        <f aca="true" t="shared" si="11" ref="D38:V38">SUM(D14:D37)</f>
        <v>80288</v>
      </c>
      <c r="E38" s="23">
        <f t="shared" si="11"/>
        <v>5103.959999999999</v>
      </c>
      <c r="F38" s="23">
        <f t="shared" si="11"/>
        <v>7655.9400000000005</v>
      </c>
      <c r="G38" s="23">
        <f t="shared" si="11"/>
        <v>12759.899999999998</v>
      </c>
      <c r="H38" s="229">
        <f t="shared" si="11"/>
        <v>-628.37001</v>
      </c>
      <c r="I38" s="229">
        <f t="shared" si="11"/>
        <v>1672.084603</v>
      </c>
      <c r="J38" s="229">
        <f t="shared" si="11"/>
        <v>1043.714593</v>
      </c>
      <c r="K38" s="229">
        <f t="shared" si="11"/>
        <v>5103.959999999999</v>
      </c>
      <c r="L38" s="229">
        <f t="shared" si="11"/>
        <v>5742.2967</v>
      </c>
      <c r="M38" s="229">
        <f t="shared" si="11"/>
        <v>10846.256699999998</v>
      </c>
      <c r="N38" s="229">
        <f t="shared" si="11"/>
        <v>4994.2987</v>
      </c>
      <c r="O38" s="229">
        <f t="shared" si="11"/>
        <v>6409.23395</v>
      </c>
      <c r="P38" s="229">
        <f t="shared" si="11"/>
        <v>11403.532650000001</v>
      </c>
      <c r="Q38" s="229">
        <f t="shared" si="11"/>
        <v>-518.7087100000001</v>
      </c>
      <c r="R38" s="229">
        <f t="shared" si="11"/>
        <v>1005.1473530000005</v>
      </c>
      <c r="S38" s="229">
        <f t="shared" si="11"/>
        <v>486.43864299999984</v>
      </c>
      <c r="T38" s="23"/>
      <c r="U38" s="23">
        <f t="shared" si="11"/>
        <v>79215</v>
      </c>
      <c r="V38" s="23">
        <f t="shared" si="11"/>
        <v>79180</v>
      </c>
      <c r="Z38" s="257">
        <f>SUM(Z14:Z37)</f>
        <v>399.94000000000005</v>
      </c>
    </row>
    <row r="43" spans="16:17" ht="12.75">
      <c r="P43" s="354"/>
      <c r="Q43" s="354"/>
    </row>
    <row r="44" spans="1:17" ht="12.75">
      <c r="A44" s="354"/>
      <c r="B44" s="354"/>
      <c r="C44" s="354"/>
      <c r="D44" s="354"/>
      <c r="E44" s="354"/>
      <c r="F44" s="354"/>
      <c r="G44" s="354"/>
      <c r="H44" s="354"/>
      <c r="I44" s="354"/>
      <c r="J44" s="354"/>
      <c r="K44" s="354"/>
      <c r="L44" s="354"/>
      <c r="M44" s="354"/>
      <c r="N44" s="354"/>
      <c r="O44" s="354"/>
      <c r="P44" s="354"/>
      <c r="Q44" s="354"/>
    </row>
    <row r="45" spans="1:21" ht="12.75" customHeight="1">
      <c r="A45" s="559" t="s">
        <v>989</v>
      </c>
      <c r="B45" s="559"/>
      <c r="C45" s="559"/>
      <c r="G45" s="359"/>
      <c r="J45" s="559" t="s">
        <v>990</v>
      </c>
      <c r="K45" s="559"/>
      <c r="L45" s="559"/>
      <c r="M45" s="559"/>
      <c r="N45" s="354"/>
      <c r="O45" s="354"/>
      <c r="P45" s="68"/>
      <c r="Q45" s="68"/>
      <c r="S45" s="559" t="s">
        <v>996</v>
      </c>
      <c r="T45" s="559"/>
      <c r="U45" s="559"/>
    </row>
    <row r="46" spans="1:21" ht="12.75" customHeight="1">
      <c r="A46" s="559" t="s">
        <v>991</v>
      </c>
      <c r="B46" s="559"/>
      <c r="C46" s="559"/>
      <c r="G46" s="359"/>
      <c r="J46" s="559" t="s">
        <v>992</v>
      </c>
      <c r="K46" s="559"/>
      <c r="L46" s="559"/>
      <c r="M46" s="559"/>
      <c r="N46" s="94"/>
      <c r="O46" s="68"/>
      <c r="P46" s="68"/>
      <c r="Q46" s="68"/>
      <c r="R46" s="354"/>
      <c r="S46" s="559" t="s">
        <v>993</v>
      </c>
      <c r="T46" s="559"/>
      <c r="U46" s="559"/>
    </row>
    <row r="47" spans="1:21" ht="12.75" customHeight="1">
      <c r="A47" s="559" t="s">
        <v>994</v>
      </c>
      <c r="B47" s="559"/>
      <c r="C47" s="559"/>
      <c r="G47" s="359"/>
      <c r="J47" s="559" t="s">
        <v>995</v>
      </c>
      <c r="K47" s="559"/>
      <c r="L47" s="559"/>
      <c r="M47" s="559"/>
      <c r="N47" s="68"/>
      <c r="O47" s="68"/>
      <c r="P47" s="68"/>
      <c r="Q47" s="68"/>
      <c r="S47" s="559" t="s">
        <v>995</v>
      </c>
      <c r="T47" s="559"/>
      <c r="U47" s="559"/>
    </row>
    <row r="48" spans="15:17" ht="12.75">
      <c r="O48" s="29"/>
      <c r="P48" s="29"/>
      <c r="Q48" s="29"/>
    </row>
    <row r="51" spans="5:7" ht="12.75">
      <c r="E51" s="12">
        <f>D25*900*10</f>
        <v>31005000</v>
      </c>
      <c r="G51" s="12">
        <f>3445*1500*10/100000</f>
        <v>516.75</v>
      </c>
    </row>
    <row r="52" ht="12.75">
      <c r="E52" s="12">
        <f>D26*600*10</f>
        <v>10428000</v>
      </c>
    </row>
  </sheetData>
  <sheetProtection/>
  <mergeCells count="27">
    <mergeCell ref="J47:M47"/>
    <mergeCell ref="A47:C47"/>
    <mergeCell ref="S47:U47"/>
    <mergeCell ref="U11:U12"/>
    <mergeCell ref="A4:V4"/>
    <mergeCell ref="T1:V1"/>
    <mergeCell ref="A5:Q5"/>
    <mergeCell ref="C11:C12"/>
    <mergeCell ref="B11:B12"/>
    <mergeCell ref="N11:P11"/>
    <mergeCell ref="V11:V12"/>
    <mergeCell ref="A3:V3"/>
    <mergeCell ref="H11:J11"/>
    <mergeCell ref="E11:G11"/>
    <mergeCell ref="K11:M11"/>
    <mergeCell ref="Q11:S11"/>
    <mergeCell ref="A8:V8"/>
    <mergeCell ref="A11:A12"/>
    <mergeCell ref="T11:T12"/>
    <mergeCell ref="A38:B38"/>
    <mergeCell ref="D11:D12"/>
    <mergeCell ref="A45:C45"/>
    <mergeCell ref="S45:U45"/>
    <mergeCell ref="A46:C46"/>
    <mergeCell ref="S46:U46"/>
    <mergeCell ref="J45:M45"/>
    <mergeCell ref="J46:M4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V45"/>
  <sheetViews>
    <sheetView view="pageBreakPreview" zoomScale="70" zoomScaleNormal="80" zoomScaleSheetLayoutView="70" zoomScalePageLayoutView="0" workbookViewId="0" topLeftCell="A1">
      <selection activeCell="X17" sqref="X17"/>
    </sheetView>
  </sheetViews>
  <sheetFormatPr defaultColWidth="9.140625" defaultRowHeight="12.75"/>
  <cols>
    <col min="1" max="1" width="9.140625" style="12" customWidth="1"/>
    <col min="2" max="2" width="15.28125" style="12" customWidth="1"/>
    <col min="3" max="3" width="14.7109375" style="12" customWidth="1"/>
    <col min="4" max="4" width="11.140625" style="12" customWidth="1"/>
    <col min="5" max="5" width="12.421875" style="12" customWidth="1"/>
    <col min="6" max="6" width="12.00390625" style="12" customWidth="1"/>
    <col min="7" max="7" width="13.140625" style="12" customWidth="1"/>
    <col min="8" max="19" width="9.140625" style="12" customWidth="1"/>
    <col min="20" max="20" width="10.421875" style="12" customWidth="1"/>
    <col min="21" max="21" width="11.140625" style="12" customWidth="1"/>
    <col min="22" max="22" width="11.8515625" style="12" customWidth="1"/>
    <col min="23" max="16384" width="9.140625" style="12" customWidth="1"/>
  </cols>
  <sheetData>
    <row r="1" spans="20:22" ht="15">
      <c r="T1" s="745" t="s">
        <v>203</v>
      </c>
      <c r="U1" s="745"/>
      <c r="V1" s="745"/>
    </row>
    <row r="3" spans="1:22" ht="15">
      <c r="A3" s="684" t="s">
        <v>0</v>
      </c>
      <c r="B3" s="684"/>
      <c r="C3" s="684"/>
      <c r="D3" s="684"/>
      <c r="E3" s="684"/>
      <c r="F3" s="684"/>
      <c r="G3" s="684"/>
      <c r="H3" s="684"/>
      <c r="I3" s="684"/>
      <c r="J3" s="684"/>
      <c r="K3" s="684"/>
      <c r="L3" s="684"/>
      <c r="M3" s="684"/>
      <c r="N3" s="684"/>
      <c r="O3" s="684"/>
      <c r="P3" s="684"/>
      <c r="Q3" s="684"/>
      <c r="R3" s="684"/>
      <c r="S3" s="684"/>
      <c r="T3" s="684"/>
      <c r="U3" s="684"/>
      <c r="V3" s="684"/>
    </row>
    <row r="4" spans="1:22" ht="20.25">
      <c r="A4" s="657" t="s">
        <v>645</v>
      </c>
      <c r="B4" s="657"/>
      <c r="C4" s="657"/>
      <c r="D4" s="657"/>
      <c r="E4" s="657"/>
      <c r="F4" s="657"/>
      <c r="G4" s="657"/>
      <c r="H4" s="657"/>
      <c r="I4" s="657"/>
      <c r="J4" s="657"/>
      <c r="K4" s="657"/>
      <c r="L4" s="657"/>
      <c r="M4" s="657"/>
      <c r="N4" s="657"/>
      <c r="O4" s="657"/>
      <c r="P4" s="657"/>
      <c r="Q4" s="657"/>
      <c r="R4" s="657"/>
      <c r="S4" s="657"/>
      <c r="T4" s="657"/>
      <c r="U4" s="657"/>
      <c r="V4" s="657"/>
    </row>
    <row r="5" spans="1:17" ht="15.75">
      <c r="A5" s="746" t="s">
        <v>207</v>
      </c>
      <c r="B5" s="746"/>
      <c r="C5" s="746"/>
      <c r="D5" s="746"/>
      <c r="E5" s="746"/>
      <c r="F5" s="746"/>
      <c r="G5" s="746"/>
      <c r="H5" s="746"/>
      <c r="I5" s="746"/>
      <c r="J5" s="746"/>
      <c r="K5" s="746"/>
      <c r="L5" s="746"/>
      <c r="M5" s="746"/>
      <c r="N5" s="746"/>
      <c r="O5" s="746"/>
      <c r="P5" s="746"/>
      <c r="Q5" s="746"/>
    </row>
    <row r="6" spans="1:21" ht="12.75">
      <c r="A6" s="29"/>
      <c r="B6" s="29"/>
      <c r="C6" s="116"/>
      <c r="D6" s="29"/>
      <c r="E6" s="29"/>
      <c r="F6" s="29"/>
      <c r="G6" s="29"/>
      <c r="H6" s="29"/>
      <c r="I6" s="29"/>
      <c r="J6" s="29"/>
      <c r="K6" s="29"/>
      <c r="L6" s="29"/>
      <c r="M6" s="29"/>
      <c r="N6" s="29"/>
      <c r="O6" s="29"/>
      <c r="P6" s="29"/>
      <c r="Q6" s="29"/>
      <c r="U6" s="29"/>
    </row>
    <row r="7" spans="1:22" ht="15.75">
      <c r="A7" s="592" t="s">
        <v>437</v>
      </c>
      <c r="B7" s="592"/>
      <c r="C7" s="592"/>
      <c r="D7" s="592"/>
      <c r="E7" s="592"/>
      <c r="F7" s="592"/>
      <c r="G7" s="592"/>
      <c r="H7" s="592"/>
      <c r="I7" s="592"/>
      <c r="J7" s="592"/>
      <c r="K7" s="592"/>
      <c r="L7" s="592"/>
      <c r="M7" s="592"/>
      <c r="N7" s="592"/>
      <c r="O7" s="592"/>
      <c r="P7" s="592"/>
      <c r="Q7" s="592"/>
      <c r="R7" s="592"/>
      <c r="S7" s="592"/>
      <c r="T7" s="592"/>
      <c r="U7" s="592"/>
      <c r="V7" s="592"/>
    </row>
    <row r="8" spans="1:22" ht="15.75">
      <c r="A8" s="40"/>
      <c r="B8" s="33"/>
      <c r="C8" s="33"/>
      <c r="D8" s="33"/>
      <c r="E8" s="33"/>
      <c r="F8" s="33"/>
      <c r="G8" s="33"/>
      <c r="H8" s="33"/>
      <c r="I8" s="33"/>
      <c r="J8" s="33"/>
      <c r="K8" s="33"/>
      <c r="L8" s="33"/>
      <c r="M8" s="33"/>
      <c r="N8" s="33"/>
      <c r="O8" s="33"/>
      <c r="Q8" s="29"/>
      <c r="R8" s="29"/>
      <c r="S8" s="29"/>
      <c r="U8" s="33"/>
      <c r="V8" s="26" t="s">
        <v>223</v>
      </c>
    </row>
    <row r="9" spans="17:22" ht="12.75">
      <c r="Q9" s="79"/>
      <c r="R9" s="79"/>
      <c r="S9" s="79" t="s">
        <v>959</v>
      </c>
      <c r="V9" s="242"/>
    </row>
    <row r="10" spans="1:22" ht="28.5" customHeight="1">
      <c r="A10" s="743" t="s">
        <v>17</v>
      </c>
      <c r="B10" s="685" t="s">
        <v>201</v>
      </c>
      <c r="C10" s="685" t="s">
        <v>369</v>
      </c>
      <c r="D10" s="685" t="s">
        <v>481</v>
      </c>
      <c r="E10" s="596" t="s">
        <v>674</v>
      </c>
      <c r="F10" s="596"/>
      <c r="G10" s="596"/>
      <c r="H10" s="574" t="s">
        <v>673</v>
      </c>
      <c r="I10" s="625"/>
      <c r="J10" s="575"/>
      <c r="K10" s="735" t="s">
        <v>371</v>
      </c>
      <c r="L10" s="736"/>
      <c r="M10" s="737"/>
      <c r="N10" s="747" t="s">
        <v>150</v>
      </c>
      <c r="O10" s="748"/>
      <c r="P10" s="749"/>
      <c r="Q10" s="573" t="s">
        <v>1015</v>
      </c>
      <c r="R10" s="573"/>
      <c r="S10" s="573"/>
      <c r="T10" s="685" t="s">
        <v>252</v>
      </c>
      <c r="U10" s="685" t="s">
        <v>425</v>
      </c>
      <c r="V10" s="685" t="s">
        <v>372</v>
      </c>
    </row>
    <row r="11" spans="1:22" ht="69" customHeight="1">
      <c r="A11" s="744"/>
      <c r="B11" s="686"/>
      <c r="C11" s="686"/>
      <c r="D11" s="686"/>
      <c r="E11" s="5" t="s">
        <v>173</v>
      </c>
      <c r="F11" s="5" t="s">
        <v>202</v>
      </c>
      <c r="G11" s="5" t="s">
        <v>13</v>
      </c>
      <c r="H11" s="5" t="s">
        <v>173</v>
      </c>
      <c r="I11" s="5" t="s">
        <v>202</v>
      </c>
      <c r="J11" s="5" t="s">
        <v>13</v>
      </c>
      <c r="K11" s="5" t="s">
        <v>173</v>
      </c>
      <c r="L11" s="5" t="s">
        <v>202</v>
      </c>
      <c r="M11" s="5" t="s">
        <v>13</v>
      </c>
      <c r="N11" s="5" t="s">
        <v>173</v>
      </c>
      <c r="O11" s="5" t="s">
        <v>202</v>
      </c>
      <c r="P11" s="5" t="s">
        <v>13</v>
      </c>
      <c r="Q11" s="5" t="s">
        <v>234</v>
      </c>
      <c r="R11" s="5" t="s">
        <v>214</v>
      </c>
      <c r="S11" s="5" t="s">
        <v>215</v>
      </c>
      <c r="T11" s="686"/>
      <c r="U11" s="686"/>
      <c r="V11" s="686"/>
    </row>
    <row r="12" spans="1:22" ht="12.75">
      <c r="A12" s="115">
        <v>1</v>
      </c>
      <c r="B12" s="83">
        <v>2</v>
      </c>
      <c r="C12" s="14">
        <v>3</v>
      </c>
      <c r="D12" s="115">
        <v>4</v>
      </c>
      <c r="E12" s="83">
        <v>5</v>
      </c>
      <c r="F12" s="14">
        <v>6</v>
      </c>
      <c r="G12" s="115">
        <v>7</v>
      </c>
      <c r="H12" s="83">
        <v>8</v>
      </c>
      <c r="I12" s="14">
        <v>9</v>
      </c>
      <c r="J12" s="115">
        <v>10</v>
      </c>
      <c r="K12" s="83">
        <v>11</v>
      </c>
      <c r="L12" s="14">
        <v>12</v>
      </c>
      <c r="M12" s="115">
        <v>13</v>
      </c>
      <c r="N12" s="83">
        <v>14</v>
      </c>
      <c r="O12" s="14">
        <v>15</v>
      </c>
      <c r="P12" s="115">
        <v>16</v>
      </c>
      <c r="Q12" s="83">
        <v>17</v>
      </c>
      <c r="R12" s="14">
        <v>18</v>
      </c>
      <c r="S12" s="115">
        <v>19</v>
      </c>
      <c r="T12" s="83">
        <v>20</v>
      </c>
      <c r="U12" s="115">
        <v>21</v>
      </c>
      <c r="V12" s="83">
        <v>22</v>
      </c>
    </row>
    <row r="13" spans="1:22" ht="13.5" customHeight="1">
      <c r="A13" s="14">
        <v>1</v>
      </c>
      <c r="B13" s="224" t="s">
        <v>831</v>
      </c>
      <c r="C13" s="750" t="s">
        <v>859</v>
      </c>
      <c r="D13" s="751"/>
      <c r="E13" s="751"/>
      <c r="F13" s="751"/>
      <c r="G13" s="751"/>
      <c r="H13" s="751"/>
      <c r="I13" s="751"/>
      <c r="J13" s="751"/>
      <c r="K13" s="751"/>
      <c r="L13" s="751"/>
      <c r="M13" s="751"/>
      <c r="N13" s="751"/>
      <c r="O13" s="751"/>
      <c r="P13" s="751"/>
      <c r="Q13" s="751"/>
      <c r="R13" s="751"/>
      <c r="S13" s="751"/>
      <c r="T13" s="751"/>
      <c r="U13" s="751"/>
      <c r="V13" s="752"/>
    </row>
    <row r="14" spans="1:22" ht="13.5" customHeight="1">
      <c r="A14" s="14">
        <v>2</v>
      </c>
      <c r="B14" s="224" t="s">
        <v>832</v>
      </c>
      <c r="C14" s="753"/>
      <c r="D14" s="754"/>
      <c r="E14" s="754"/>
      <c r="F14" s="754"/>
      <c r="G14" s="754"/>
      <c r="H14" s="754"/>
      <c r="I14" s="754"/>
      <c r="J14" s="754"/>
      <c r="K14" s="754"/>
      <c r="L14" s="754"/>
      <c r="M14" s="754"/>
      <c r="N14" s="754"/>
      <c r="O14" s="754"/>
      <c r="P14" s="754"/>
      <c r="Q14" s="754"/>
      <c r="R14" s="754"/>
      <c r="S14" s="754"/>
      <c r="T14" s="754"/>
      <c r="U14" s="754"/>
      <c r="V14" s="755"/>
    </row>
    <row r="15" spans="1:22" ht="13.5" customHeight="1">
      <c r="A15" s="14">
        <v>3</v>
      </c>
      <c r="B15" s="224" t="s">
        <v>833</v>
      </c>
      <c r="C15" s="753"/>
      <c r="D15" s="754"/>
      <c r="E15" s="754"/>
      <c r="F15" s="754"/>
      <c r="G15" s="754"/>
      <c r="H15" s="754"/>
      <c r="I15" s="754"/>
      <c r="J15" s="754"/>
      <c r="K15" s="754"/>
      <c r="L15" s="754"/>
      <c r="M15" s="754"/>
      <c r="N15" s="754"/>
      <c r="O15" s="754"/>
      <c r="P15" s="754"/>
      <c r="Q15" s="754"/>
      <c r="R15" s="754"/>
      <c r="S15" s="754"/>
      <c r="T15" s="754"/>
      <c r="U15" s="754"/>
      <c r="V15" s="755"/>
    </row>
    <row r="16" spans="1:22" ht="13.5" customHeight="1">
      <c r="A16" s="14">
        <v>4</v>
      </c>
      <c r="B16" s="224" t="s">
        <v>834</v>
      </c>
      <c r="C16" s="753"/>
      <c r="D16" s="754"/>
      <c r="E16" s="754"/>
      <c r="F16" s="754"/>
      <c r="G16" s="754"/>
      <c r="H16" s="754"/>
      <c r="I16" s="754"/>
      <c r="J16" s="754"/>
      <c r="K16" s="754"/>
      <c r="L16" s="754"/>
      <c r="M16" s="754"/>
      <c r="N16" s="754"/>
      <c r="O16" s="754"/>
      <c r="P16" s="754"/>
      <c r="Q16" s="754"/>
      <c r="R16" s="754"/>
      <c r="S16" s="754"/>
      <c r="T16" s="754"/>
      <c r="U16" s="754"/>
      <c r="V16" s="755"/>
    </row>
    <row r="17" spans="1:22" ht="13.5" customHeight="1">
      <c r="A17" s="14">
        <v>5</v>
      </c>
      <c r="B17" s="224" t="s">
        <v>835</v>
      </c>
      <c r="C17" s="753"/>
      <c r="D17" s="754"/>
      <c r="E17" s="754"/>
      <c r="F17" s="754"/>
      <c r="G17" s="754"/>
      <c r="H17" s="754"/>
      <c r="I17" s="754"/>
      <c r="J17" s="754"/>
      <c r="K17" s="754"/>
      <c r="L17" s="754"/>
      <c r="M17" s="754"/>
      <c r="N17" s="754"/>
      <c r="O17" s="754"/>
      <c r="P17" s="754"/>
      <c r="Q17" s="754"/>
      <c r="R17" s="754"/>
      <c r="S17" s="754"/>
      <c r="T17" s="754"/>
      <c r="U17" s="754"/>
      <c r="V17" s="755"/>
    </row>
    <row r="18" spans="1:22" ht="13.5" customHeight="1">
      <c r="A18" s="14">
        <v>6</v>
      </c>
      <c r="B18" s="224" t="s">
        <v>836</v>
      </c>
      <c r="C18" s="753"/>
      <c r="D18" s="754"/>
      <c r="E18" s="754"/>
      <c r="F18" s="754"/>
      <c r="G18" s="754"/>
      <c r="H18" s="754"/>
      <c r="I18" s="754"/>
      <c r="J18" s="754"/>
      <c r="K18" s="754"/>
      <c r="L18" s="754"/>
      <c r="M18" s="754"/>
      <c r="N18" s="754"/>
      <c r="O18" s="754"/>
      <c r="P18" s="754"/>
      <c r="Q18" s="754"/>
      <c r="R18" s="754"/>
      <c r="S18" s="754"/>
      <c r="T18" s="754"/>
      <c r="U18" s="754"/>
      <c r="V18" s="755"/>
    </row>
    <row r="19" spans="1:22" ht="13.5" customHeight="1">
      <c r="A19" s="14">
        <v>7</v>
      </c>
      <c r="B19" s="224" t="s">
        <v>837</v>
      </c>
      <c r="C19" s="753"/>
      <c r="D19" s="754"/>
      <c r="E19" s="754"/>
      <c r="F19" s="754"/>
      <c r="G19" s="754"/>
      <c r="H19" s="754"/>
      <c r="I19" s="754"/>
      <c r="J19" s="754"/>
      <c r="K19" s="754"/>
      <c r="L19" s="754"/>
      <c r="M19" s="754"/>
      <c r="N19" s="754"/>
      <c r="O19" s="754"/>
      <c r="P19" s="754"/>
      <c r="Q19" s="754"/>
      <c r="R19" s="754"/>
      <c r="S19" s="754"/>
      <c r="T19" s="754"/>
      <c r="U19" s="754"/>
      <c r="V19" s="755"/>
    </row>
    <row r="20" spans="1:22" ht="13.5" customHeight="1">
      <c r="A20" s="14">
        <v>8</v>
      </c>
      <c r="B20" s="224" t="s">
        <v>838</v>
      </c>
      <c r="C20" s="753"/>
      <c r="D20" s="754"/>
      <c r="E20" s="754"/>
      <c r="F20" s="754"/>
      <c r="G20" s="754"/>
      <c r="H20" s="754"/>
      <c r="I20" s="754"/>
      <c r="J20" s="754"/>
      <c r="K20" s="754"/>
      <c r="L20" s="754"/>
      <c r="M20" s="754"/>
      <c r="N20" s="754"/>
      <c r="O20" s="754"/>
      <c r="P20" s="754"/>
      <c r="Q20" s="754"/>
      <c r="R20" s="754"/>
      <c r="S20" s="754"/>
      <c r="T20" s="754"/>
      <c r="U20" s="754"/>
      <c r="V20" s="755"/>
    </row>
    <row r="21" spans="1:22" ht="13.5" customHeight="1">
      <c r="A21" s="14">
        <v>9</v>
      </c>
      <c r="B21" s="224" t="s">
        <v>839</v>
      </c>
      <c r="C21" s="753"/>
      <c r="D21" s="754"/>
      <c r="E21" s="754"/>
      <c r="F21" s="754"/>
      <c r="G21" s="754"/>
      <c r="H21" s="754"/>
      <c r="I21" s="754"/>
      <c r="J21" s="754"/>
      <c r="K21" s="754"/>
      <c r="L21" s="754"/>
      <c r="M21" s="754"/>
      <c r="N21" s="754"/>
      <c r="O21" s="754"/>
      <c r="P21" s="754"/>
      <c r="Q21" s="754"/>
      <c r="R21" s="754"/>
      <c r="S21" s="754"/>
      <c r="T21" s="754"/>
      <c r="U21" s="754"/>
      <c r="V21" s="755"/>
    </row>
    <row r="22" spans="1:22" ht="13.5" customHeight="1">
      <c r="A22" s="14">
        <v>10</v>
      </c>
      <c r="B22" s="224" t="s">
        <v>840</v>
      </c>
      <c r="C22" s="753"/>
      <c r="D22" s="754"/>
      <c r="E22" s="754"/>
      <c r="F22" s="754"/>
      <c r="G22" s="754"/>
      <c r="H22" s="754"/>
      <c r="I22" s="754"/>
      <c r="J22" s="754"/>
      <c r="K22" s="754"/>
      <c r="L22" s="754"/>
      <c r="M22" s="754"/>
      <c r="N22" s="754"/>
      <c r="O22" s="754"/>
      <c r="P22" s="754"/>
      <c r="Q22" s="754"/>
      <c r="R22" s="754"/>
      <c r="S22" s="754"/>
      <c r="T22" s="754"/>
      <c r="U22" s="754"/>
      <c r="V22" s="755"/>
    </row>
    <row r="23" spans="1:22" ht="13.5" customHeight="1">
      <c r="A23" s="14">
        <v>11</v>
      </c>
      <c r="B23" s="224" t="s">
        <v>841</v>
      </c>
      <c r="C23" s="753"/>
      <c r="D23" s="754"/>
      <c r="E23" s="754"/>
      <c r="F23" s="754"/>
      <c r="G23" s="754"/>
      <c r="H23" s="754"/>
      <c r="I23" s="754"/>
      <c r="J23" s="754"/>
      <c r="K23" s="754"/>
      <c r="L23" s="754"/>
      <c r="M23" s="754"/>
      <c r="N23" s="754"/>
      <c r="O23" s="754"/>
      <c r="P23" s="754"/>
      <c r="Q23" s="754"/>
      <c r="R23" s="754"/>
      <c r="S23" s="754"/>
      <c r="T23" s="754"/>
      <c r="U23" s="754"/>
      <c r="V23" s="755"/>
    </row>
    <row r="24" spans="1:22" ht="13.5" customHeight="1">
      <c r="A24" s="14">
        <v>12</v>
      </c>
      <c r="B24" s="224" t="s">
        <v>842</v>
      </c>
      <c r="C24" s="753"/>
      <c r="D24" s="754"/>
      <c r="E24" s="754"/>
      <c r="F24" s="754"/>
      <c r="G24" s="754"/>
      <c r="H24" s="754"/>
      <c r="I24" s="754"/>
      <c r="J24" s="754"/>
      <c r="K24" s="754"/>
      <c r="L24" s="754"/>
      <c r="M24" s="754"/>
      <c r="N24" s="754"/>
      <c r="O24" s="754"/>
      <c r="P24" s="754"/>
      <c r="Q24" s="754"/>
      <c r="R24" s="754"/>
      <c r="S24" s="754"/>
      <c r="T24" s="754"/>
      <c r="U24" s="754"/>
      <c r="V24" s="755"/>
    </row>
    <row r="25" spans="1:22" ht="13.5" customHeight="1">
      <c r="A25" s="14">
        <v>13</v>
      </c>
      <c r="B25" s="224" t="s">
        <v>843</v>
      </c>
      <c r="C25" s="753"/>
      <c r="D25" s="754"/>
      <c r="E25" s="754"/>
      <c r="F25" s="754"/>
      <c r="G25" s="754"/>
      <c r="H25" s="754"/>
      <c r="I25" s="754"/>
      <c r="J25" s="754"/>
      <c r="K25" s="754"/>
      <c r="L25" s="754"/>
      <c r="M25" s="754"/>
      <c r="N25" s="754"/>
      <c r="O25" s="754"/>
      <c r="P25" s="754"/>
      <c r="Q25" s="754"/>
      <c r="R25" s="754"/>
      <c r="S25" s="754"/>
      <c r="T25" s="754"/>
      <c r="U25" s="754"/>
      <c r="V25" s="755"/>
    </row>
    <row r="26" spans="1:22" ht="13.5" customHeight="1">
      <c r="A26" s="14">
        <v>14</v>
      </c>
      <c r="B26" s="224" t="s">
        <v>844</v>
      </c>
      <c r="C26" s="753"/>
      <c r="D26" s="754"/>
      <c r="E26" s="754"/>
      <c r="F26" s="754"/>
      <c r="G26" s="754"/>
      <c r="H26" s="754"/>
      <c r="I26" s="754"/>
      <c r="J26" s="754"/>
      <c r="K26" s="754"/>
      <c r="L26" s="754"/>
      <c r="M26" s="754"/>
      <c r="N26" s="754"/>
      <c r="O26" s="754"/>
      <c r="P26" s="754"/>
      <c r="Q26" s="754"/>
      <c r="R26" s="754"/>
      <c r="S26" s="754"/>
      <c r="T26" s="754"/>
      <c r="U26" s="754"/>
      <c r="V26" s="755"/>
    </row>
    <row r="27" spans="1:22" ht="13.5" customHeight="1">
      <c r="A27" s="14">
        <v>15</v>
      </c>
      <c r="B27" s="224" t="s">
        <v>845</v>
      </c>
      <c r="C27" s="753"/>
      <c r="D27" s="754"/>
      <c r="E27" s="754"/>
      <c r="F27" s="754"/>
      <c r="G27" s="754"/>
      <c r="H27" s="754"/>
      <c r="I27" s="754"/>
      <c r="J27" s="754"/>
      <c r="K27" s="754"/>
      <c r="L27" s="754"/>
      <c r="M27" s="754"/>
      <c r="N27" s="754"/>
      <c r="O27" s="754"/>
      <c r="P27" s="754"/>
      <c r="Q27" s="754"/>
      <c r="R27" s="754"/>
      <c r="S27" s="754"/>
      <c r="T27" s="754"/>
      <c r="U27" s="754"/>
      <c r="V27" s="755"/>
    </row>
    <row r="28" spans="1:22" ht="13.5" customHeight="1">
      <c r="A28" s="14">
        <v>16</v>
      </c>
      <c r="B28" s="224" t="s">
        <v>846</v>
      </c>
      <c r="C28" s="753"/>
      <c r="D28" s="754"/>
      <c r="E28" s="754"/>
      <c r="F28" s="754"/>
      <c r="G28" s="754"/>
      <c r="H28" s="754"/>
      <c r="I28" s="754"/>
      <c r="J28" s="754"/>
      <c r="K28" s="754"/>
      <c r="L28" s="754"/>
      <c r="M28" s="754"/>
      <c r="N28" s="754"/>
      <c r="O28" s="754"/>
      <c r="P28" s="754"/>
      <c r="Q28" s="754"/>
      <c r="R28" s="754"/>
      <c r="S28" s="754"/>
      <c r="T28" s="754"/>
      <c r="U28" s="754"/>
      <c r="V28" s="755"/>
    </row>
    <row r="29" spans="1:22" ht="13.5" customHeight="1">
      <c r="A29" s="14">
        <v>17</v>
      </c>
      <c r="B29" s="224" t="s">
        <v>847</v>
      </c>
      <c r="C29" s="753"/>
      <c r="D29" s="754"/>
      <c r="E29" s="754"/>
      <c r="F29" s="754"/>
      <c r="G29" s="754"/>
      <c r="H29" s="754"/>
      <c r="I29" s="754"/>
      <c r="J29" s="754"/>
      <c r="K29" s="754"/>
      <c r="L29" s="754"/>
      <c r="M29" s="754"/>
      <c r="N29" s="754"/>
      <c r="O29" s="754"/>
      <c r="P29" s="754"/>
      <c r="Q29" s="754"/>
      <c r="R29" s="754"/>
      <c r="S29" s="754"/>
      <c r="T29" s="754"/>
      <c r="U29" s="754"/>
      <c r="V29" s="755"/>
    </row>
    <row r="30" spans="1:22" ht="13.5" customHeight="1">
      <c r="A30" s="14">
        <v>18</v>
      </c>
      <c r="B30" s="224" t="s">
        <v>848</v>
      </c>
      <c r="C30" s="753"/>
      <c r="D30" s="754"/>
      <c r="E30" s="754"/>
      <c r="F30" s="754"/>
      <c r="G30" s="754"/>
      <c r="H30" s="754"/>
      <c r="I30" s="754"/>
      <c r="J30" s="754"/>
      <c r="K30" s="754"/>
      <c r="L30" s="754"/>
      <c r="M30" s="754"/>
      <c r="N30" s="754"/>
      <c r="O30" s="754"/>
      <c r="P30" s="754"/>
      <c r="Q30" s="754"/>
      <c r="R30" s="754"/>
      <c r="S30" s="754"/>
      <c r="T30" s="754"/>
      <c r="U30" s="754"/>
      <c r="V30" s="755"/>
    </row>
    <row r="31" spans="1:22" ht="13.5" customHeight="1">
      <c r="A31" s="14">
        <v>19</v>
      </c>
      <c r="B31" s="224" t="s">
        <v>849</v>
      </c>
      <c r="C31" s="753"/>
      <c r="D31" s="754"/>
      <c r="E31" s="754"/>
      <c r="F31" s="754"/>
      <c r="G31" s="754"/>
      <c r="H31" s="754"/>
      <c r="I31" s="754"/>
      <c r="J31" s="754"/>
      <c r="K31" s="754"/>
      <c r="L31" s="754"/>
      <c r="M31" s="754"/>
      <c r="N31" s="754"/>
      <c r="O31" s="754"/>
      <c r="P31" s="754"/>
      <c r="Q31" s="754"/>
      <c r="R31" s="754"/>
      <c r="S31" s="754"/>
      <c r="T31" s="754"/>
      <c r="U31" s="754"/>
      <c r="V31" s="755"/>
    </row>
    <row r="32" spans="1:22" ht="13.5" customHeight="1">
      <c r="A32" s="14">
        <v>20</v>
      </c>
      <c r="B32" s="224" t="s">
        <v>850</v>
      </c>
      <c r="C32" s="753"/>
      <c r="D32" s="754"/>
      <c r="E32" s="754"/>
      <c r="F32" s="754"/>
      <c r="G32" s="754"/>
      <c r="H32" s="754"/>
      <c r="I32" s="754"/>
      <c r="J32" s="754"/>
      <c r="K32" s="754"/>
      <c r="L32" s="754"/>
      <c r="M32" s="754"/>
      <c r="N32" s="754"/>
      <c r="O32" s="754"/>
      <c r="P32" s="754"/>
      <c r="Q32" s="754"/>
      <c r="R32" s="754"/>
      <c r="S32" s="754"/>
      <c r="T32" s="754"/>
      <c r="U32" s="754"/>
      <c r="V32" s="755"/>
    </row>
    <row r="33" spans="1:22" ht="13.5" customHeight="1">
      <c r="A33" s="14">
        <v>21</v>
      </c>
      <c r="B33" s="224" t="s">
        <v>851</v>
      </c>
      <c r="C33" s="753"/>
      <c r="D33" s="754"/>
      <c r="E33" s="754"/>
      <c r="F33" s="754"/>
      <c r="G33" s="754"/>
      <c r="H33" s="754"/>
      <c r="I33" s="754"/>
      <c r="J33" s="754"/>
      <c r="K33" s="754"/>
      <c r="L33" s="754"/>
      <c r="M33" s="754"/>
      <c r="N33" s="754"/>
      <c r="O33" s="754"/>
      <c r="P33" s="754"/>
      <c r="Q33" s="754"/>
      <c r="R33" s="754"/>
      <c r="S33" s="754"/>
      <c r="T33" s="754"/>
      <c r="U33" s="754"/>
      <c r="V33" s="755"/>
    </row>
    <row r="34" spans="1:22" ht="13.5" customHeight="1">
      <c r="A34" s="14">
        <v>22</v>
      </c>
      <c r="B34" s="224" t="s">
        <v>852</v>
      </c>
      <c r="C34" s="753"/>
      <c r="D34" s="754"/>
      <c r="E34" s="754"/>
      <c r="F34" s="754"/>
      <c r="G34" s="754"/>
      <c r="H34" s="754"/>
      <c r="I34" s="754"/>
      <c r="J34" s="754"/>
      <c r="K34" s="754"/>
      <c r="L34" s="754"/>
      <c r="M34" s="754"/>
      <c r="N34" s="754"/>
      <c r="O34" s="754"/>
      <c r="P34" s="754"/>
      <c r="Q34" s="754"/>
      <c r="R34" s="754"/>
      <c r="S34" s="754"/>
      <c r="T34" s="754"/>
      <c r="U34" s="754"/>
      <c r="V34" s="755"/>
    </row>
    <row r="35" spans="1:22" ht="13.5" customHeight="1">
      <c r="A35" s="14">
        <v>23</v>
      </c>
      <c r="B35" s="224" t="s">
        <v>853</v>
      </c>
      <c r="C35" s="753"/>
      <c r="D35" s="754"/>
      <c r="E35" s="754"/>
      <c r="F35" s="754"/>
      <c r="G35" s="754"/>
      <c r="H35" s="754"/>
      <c r="I35" s="754"/>
      <c r="J35" s="754"/>
      <c r="K35" s="754"/>
      <c r="L35" s="754"/>
      <c r="M35" s="754"/>
      <c r="N35" s="754"/>
      <c r="O35" s="754"/>
      <c r="P35" s="754"/>
      <c r="Q35" s="754"/>
      <c r="R35" s="754"/>
      <c r="S35" s="754"/>
      <c r="T35" s="754"/>
      <c r="U35" s="754"/>
      <c r="V35" s="755"/>
    </row>
    <row r="36" spans="1:22" ht="13.5" customHeight="1">
      <c r="A36" s="14">
        <v>24</v>
      </c>
      <c r="B36" s="224" t="s">
        <v>854</v>
      </c>
      <c r="C36" s="753"/>
      <c r="D36" s="754"/>
      <c r="E36" s="754"/>
      <c r="F36" s="754"/>
      <c r="G36" s="754"/>
      <c r="H36" s="754"/>
      <c r="I36" s="754"/>
      <c r="J36" s="754"/>
      <c r="K36" s="754"/>
      <c r="L36" s="754"/>
      <c r="M36" s="754"/>
      <c r="N36" s="754"/>
      <c r="O36" s="754"/>
      <c r="P36" s="754"/>
      <c r="Q36" s="754"/>
      <c r="R36" s="754"/>
      <c r="S36" s="754"/>
      <c r="T36" s="754"/>
      <c r="U36" s="754"/>
      <c r="V36" s="755"/>
    </row>
    <row r="37" spans="1:22" s="11" customFormat="1" ht="13.5" customHeight="1">
      <c r="A37" s="560" t="s">
        <v>13</v>
      </c>
      <c r="B37" s="561"/>
      <c r="C37" s="756"/>
      <c r="D37" s="757"/>
      <c r="E37" s="757"/>
      <c r="F37" s="757"/>
      <c r="G37" s="757"/>
      <c r="H37" s="757"/>
      <c r="I37" s="757"/>
      <c r="J37" s="757"/>
      <c r="K37" s="757"/>
      <c r="L37" s="757"/>
      <c r="M37" s="757"/>
      <c r="N37" s="757"/>
      <c r="O37" s="757"/>
      <c r="P37" s="757"/>
      <c r="Q37" s="757"/>
      <c r="R37" s="757"/>
      <c r="S37" s="757"/>
      <c r="T37" s="757"/>
      <c r="U37" s="757"/>
      <c r="V37" s="758"/>
    </row>
    <row r="41" spans="16:17" ht="12.75">
      <c r="P41" s="354"/>
      <c r="Q41" s="354"/>
    </row>
    <row r="42" spans="1:21" ht="12.75">
      <c r="A42" s="29"/>
      <c r="B42" s="29"/>
      <c r="C42" s="29"/>
      <c r="D42" s="29"/>
      <c r="E42" s="29"/>
      <c r="F42" s="29"/>
      <c r="G42" s="29"/>
      <c r="H42" s="29"/>
      <c r="I42" s="29"/>
      <c r="J42" s="29"/>
      <c r="K42" s="29"/>
      <c r="L42" s="29"/>
      <c r="M42" s="29"/>
      <c r="N42" s="354"/>
      <c r="O42" s="354"/>
      <c r="P42" s="68"/>
      <c r="Q42" s="68"/>
      <c r="U42" s="11"/>
    </row>
    <row r="43" spans="1:21" ht="12.75">
      <c r="A43" s="559" t="s">
        <v>989</v>
      </c>
      <c r="B43" s="559"/>
      <c r="C43" s="559"/>
      <c r="G43" s="359"/>
      <c r="K43" s="559" t="s">
        <v>990</v>
      </c>
      <c r="L43" s="559"/>
      <c r="M43" s="29"/>
      <c r="N43" s="354"/>
      <c r="O43" s="354"/>
      <c r="P43" s="68"/>
      <c r="Q43" s="68"/>
      <c r="S43" s="559" t="s">
        <v>996</v>
      </c>
      <c r="T43" s="559"/>
      <c r="U43" s="559"/>
    </row>
    <row r="44" spans="1:21" ht="12.75">
      <c r="A44" s="559" t="s">
        <v>991</v>
      </c>
      <c r="B44" s="559"/>
      <c r="C44" s="559"/>
      <c r="G44" s="359"/>
      <c r="K44" s="559" t="s">
        <v>992</v>
      </c>
      <c r="L44" s="559"/>
      <c r="M44" s="94"/>
      <c r="N44" s="94"/>
      <c r="O44" s="68"/>
      <c r="P44" s="68"/>
      <c r="Q44" s="68"/>
      <c r="R44" s="354"/>
      <c r="S44" s="559" t="s">
        <v>993</v>
      </c>
      <c r="T44" s="559"/>
      <c r="U44" s="559"/>
    </row>
    <row r="45" spans="1:21" ht="12.75">
      <c r="A45" s="559" t="s">
        <v>994</v>
      </c>
      <c r="B45" s="559"/>
      <c r="C45" s="559"/>
      <c r="G45" s="359"/>
      <c r="K45" s="559" t="s">
        <v>995</v>
      </c>
      <c r="L45" s="559"/>
      <c r="M45" s="68"/>
      <c r="N45" s="68"/>
      <c r="O45" s="68"/>
      <c r="P45" s="68"/>
      <c r="Q45" s="68"/>
      <c r="S45" s="559" t="s">
        <v>995</v>
      </c>
      <c r="T45" s="559"/>
      <c r="U45" s="559"/>
    </row>
  </sheetData>
  <sheetProtection/>
  <mergeCells count="28">
    <mergeCell ref="S43:U43"/>
    <mergeCell ref="A44:C44"/>
    <mergeCell ref="H10:J10"/>
    <mergeCell ref="K10:M10"/>
    <mergeCell ref="A37:B37"/>
    <mergeCell ref="A10:A11"/>
    <mergeCell ref="A43:C43"/>
    <mergeCell ref="K43:L43"/>
    <mergeCell ref="B10:B11"/>
    <mergeCell ref="C13:V37"/>
    <mergeCell ref="C10:C11"/>
    <mergeCell ref="D10:D11"/>
    <mergeCell ref="E10:G10"/>
    <mergeCell ref="N10:P10"/>
    <mergeCell ref="Q10:S10"/>
    <mergeCell ref="V10:V11"/>
    <mergeCell ref="U10:U11"/>
    <mergeCell ref="T10:T11"/>
    <mergeCell ref="K44:L44"/>
    <mergeCell ref="S44:U44"/>
    <mergeCell ref="A45:C45"/>
    <mergeCell ref="K45:L45"/>
    <mergeCell ref="S45:U45"/>
    <mergeCell ref="T1:V1"/>
    <mergeCell ref="A5:Q5"/>
    <mergeCell ref="A7:V7"/>
    <mergeCell ref="A4:V4"/>
    <mergeCell ref="A3:V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7"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V44"/>
  <sheetViews>
    <sheetView view="pageBreakPreview" zoomScale="70" zoomScaleSheetLayoutView="70" zoomScalePageLayoutView="0" workbookViewId="0" topLeftCell="A1">
      <selection activeCell="G52" sqref="G52"/>
    </sheetView>
  </sheetViews>
  <sheetFormatPr defaultColWidth="9.140625" defaultRowHeight="12.75"/>
  <cols>
    <col min="1" max="1" width="9.140625" style="12" customWidth="1"/>
    <col min="2" max="2" width="15.28125" style="12" customWidth="1"/>
    <col min="3" max="3" width="16.57421875" style="12" customWidth="1"/>
    <col min="4" max="4" width="15.8515625" style="12" customWidth="1"/>
    <col min="5" max="5" width="18.8515625" style="12" customWidth="1"/>
    <col min="6" max="6" width="19.00390625" style="12" customWidth="1"/>
    <col min="7" max="7" width="22.57421875" style="12" customWidth="1"/>
    <col min="8" max="8" width="16.7109375" style="12" customWidth="1"/>
    <col min="9" max="9" width="24.28125" style="12" customWidth="1"/>
    <col min="10" max="16384" width="9.140625" style="12" customWidth="1"/>
  </cols>
  <sheetData>
    <row r="1" spans="9:10" ht="15">
      <c r="I1" s="34" t="s">
        <v>60</v>
      </c>
      <c r="J1" s="36"/>
    </row>
    <row r="2" spans="1:10" ht="15">
      <c r="A2" s="684" t="s">
        <v>0</v>
      </c>
      <c r="B2" s="684"/>
      <c r="C2" s="684"/>
      <c r="D2" s="684"/>
      <c r="E2" s="684"/>
      <c r="F2" s="684"/>
      <c r="G2" s="684"/>
      <c r="H2" s="684"/>
      <c r="I2" s="684"/>
      <c r="J2" s="38"/>
    </row>
    <row r="3" spans="1:10" ht="20.25">
      <c r="A3" s="591" t="s">
        <v>645</v>
      </c>
      <c r="B3" s="591"/>
      <c r="C3" s="591"/>
      <c r="D3" s="591"/>
      <c r="E3" s="591"/>
      <c r="F3" s="591"/>
      <c r="G3" s="591"/>
      <c r="H3" s="591"/>
      <c r="I3" s="591"/>
      <c r="J3" s="37"/>
    </row>
    <row r="5" spans="1:9" ht="12.75">
      <c r="A5" s="759" t="s">
        <v>675</v>
      </c>
      <c r="B5" s="759"/>
      <c r="C5" s="759"/>
      <c r="D5" s="759"/>
      <c r="E5" s="759"/>
      <c r="F5" s="759"/>
      <c r="G5" s="759"/>
      <c r="H5" s="759"/>
      <c r="I5" s="759"/>
    </row>
    <row r="7" spans="1:9" ht="12.75">
      <c r="A7" s="11" t="s">
        <v>20</v>
      </c>
      <c r="I7" s="26" t="s">
        <v>16</v>
      </c>
    </row>
    <row r="8" spans="5:22" ht="12.75">
      <c r="E8" s="79"/>
      <c r="F8" s="79"/>
      <c r="G8" s="79"/>
      <c r="H8" s="79" t="s">
        <v>959</v>
      </c>
      <c r="I8" s="79"/>
      <c r="U8" s="15"/>
      <c r="V8" s="17"/>
    </row>
    <row r="9" spans="1:9" ht="53.25" customHeight="1">
      <c r="A9" s="5" t="s">
        <v>1</v>
      </c>
      <c r="B9" s="5" t="s">
        <v>2</v>
      </c>
      <c r="C9" s="2" t="s">
        <v>674</v>
      </c>
      <c r="D9" s="2" t="s">
        <v>676</v>
      </c>
      <c r="E9" s="2" t="s">
        <v>109</v>
      </c>
      <c r="F9" s="5" t="s">
        <v>226</v>
      </c>
      <c r="G9" s="2" t="s">
        <v>438</v>
      </c>
      <c r="H9" s="2" t="s">
        <v>150</v>
      </c>
      <c r="I9" s="27" t="s">
        <v>1016</v>
      </c>
    </row>
    <row r="10" spans="1:9" s="17" customFormat="1" ht="15.75" customHeight="1">
      <c r="A10" s="60">
        <v>1</v>
      </c>
      <c r="B10" s="5">
        <v>2</v>
      </c>
      <c r="C10" s="60">
        <v>3</v>
      </c>
      <c r="D10" s="5">
        <v>4</v>
      </c>
      <c r="E10" s="60">
        <v>5</v>
      </c>
      <c r="F10" s="5">
        <v>6</v>
      </c>
      <c r="G10" s="60">
        <v>7</v>
      </c>
      <c r="H10" s="5">
        <v>8</v>
      </c>
      <c r="I10" s="60">
        <v>9</v>
      </c>
    </row>
    <row r="11" spans="1:12" ht="12.75">
      <c r="A11" s="14">
        <v>1</v>
      </c>
      <c r="B11" s="224" t="s">
        <v>831</v>
      </c>
      <c r="C11" s="228">
        <v>42.717894</v>
      </c>
      <c r="D11" s="228">
        <v>9.902472831999994</v>
      </c>
      <c r="E11" s="338">
        <v>31.279</v>
      </c>
      <c r="F11" s="228">
        <v>0</v>
      </c>
      <c r="G11" s="228">
        <v>750</v>
      </c>
      <c r="H11" s="228">
        <v>26.92</v>
      </c>
      <c r="I11" s="228">
        <f>D11+E11+F11-H11</f>
        <v>14.261472831999995</v>
      </c>
      <c r="J11" s="259">
        <v>2.37</v>
      </c>
      <c r="K11" s="259">
        <f>H11+J11</f>
        <v>29.290000000000003</v>
      </c>
      <c r="L11" s="259">
        <f>H11-J11</f>
        <v>24.55</v>
      </c>
    </row>
    <row r="12" spans="1:12" ht="12.75">
      <c r="A12" s="14">
        <v>2</v>
      </c>
      <c r="B12" s="224" t="s">
        <v>832</v>
      </c>
      <c r="C12" s="228">
        <v>14.110324973684211</v>
      </c>
      <c r="D12" s="228">
        <v>-1.814723584000001</v>
      </c>
      <c r="E12" s="338">
        <v>10.131</v>
      </c>
      <c r="F12" s="228">
        <v>0</v>
      </c>
      <c r="G12" s="228">
        <v>750</v>
      </c>
      <c r="H12" s="228">
        <v>12.92</v>
      </c>
      <c r="I12" s="228">
        <f aca="true" t="shared" si="0" ref="I12:I34">D12+E12+F12-H12</f>
        <v>-4.603723584000001</v>
      </c>
      <c r="J12" s="259">
        <v>0.472</v>
      </c>
      <c r="K12" s="259">
        <f aca="true" t="shared" si="1" ref="K12:K34">H12+J12</f>
        <v>13.392</v>
      </c>
      <c r="L12" s="259">
        <f aca="true" t="shared" si="2" ref="L12:L34">H12-J12</f>
        <v>12.448</v>
      </c>
    </row>
    <row r="13" spans="1:12" ht="12.75">
      <c r="A13" s="14">
        <v>3</v>
      </c>
      <c r="B13" s="224" t="s">
        <v>833</v>
      </c>
      <c r="C13" s="228">
        <v>10.966022596153845</v>
      </c>
      <c r="D13" s="228">
        <v>3.4086405120000016</v>
      </c>
      <c r="E13" s="338">
        <v>8.389</v>
      </c>
      <c r="F13" s="228">
        <v>0</v>
      </c>
      <c r="G13" s="228">
        <v>750</v>
      </c>
      <c r="H13" s="228">
        <v>8.8</v>
      </c>
      <c r="I13" s="228">
        <f t="shared" si="0"/>
        <v>2.9976405120000003</v>
      </c>
      <c r="J13" s="259">
        <v>0.405</v>
      </c>
      <c r="K13" s="259">
        <f t="shared" si="1"/>
        <v>9.205</v>
      </c>
      <c r="L13" s="259">
        <f t="shared" si="2"/>
        <v>8.395000000000001</v>
      </c>
    </row>
    <row r="14" spans="1:12" ht="12.75">
      <c r="A14" s="14">
        <v>4</v>
      </c>
      <c r="B14" s="224" t="s">
        <v>834</v>
      </c>
      <c r="C14" s="228">
        <v>29.151313652777773</v>
      </c>
      <c r="D14" s="228">
        <v>-2.1474937599999855</v>
      </c>
      <c r="E14" s="338">
        <v>22.132</v>
      </c>
      <c r="F14" s="228">
        <v>0</v>
      </c>
      <c r="G14" s="228">
        <v>750</v>
      </c>
      <c r="H14" s="228">
        <v>28.03</v>
      </c>
      <c r="I14" s="228">
        <f t="shared" si="0"/>
        <v>-8.045493759999985</v>
      </c>
      <c r="J14" s="259">
        <v>1.074</v>
      </c>
      <c r="K14" s="259">
        <f t="shared" si="1"/>
        <v>29.104000000000003</v>
      </c>
      <c r="L14" s="259">
        <f t="shared" si="2"/>
        <v>26.956</v>
      </c>
    </row>
    <row r="15" spans="1:12" ht="12.75">
      <c r="A15" s="14">
        <v>5</v>
      </c>
      <c r="B15" s="224" t="s">
        <v>835</v>
      </c>
      <c r="C15" s="228">
        <v>15.577452778301888</v>
      </c>
      <c r="D15" s="228">
        <v>3.580946815999999</v>
      </c>
      <c r="E15" s="338">
        <v>11.422</v>
      </c>
      <c r="F15" s="228">
        <v>0</v>
      </c>
      <c r="G15" s="228">
        <v>750</v>
      </c>
      <c r="H15" s="228">
        <v>12.29</v>
      </c>
      <c r="I15" s="228">
        <f t="shared" si="0"/>
        <v>2.7129468160000005</v>
      </c>
      <c r="J15" s="259">
        <v>0.536</v>
      </c>
      <c r="K15" s="259">
        <f t="shared" si="1"/>
        <v>12.825999999999999</v>
      </c>
      <c r="L15" s="259">
        <f t="shared" si="2"/>
        <v>11.754</v>
      </c>
    </row>
    <row r="16" spans="1:12" ht="12.75">
      <c r="A16" s="14">
        <v>6</v>
      </c>
      <c r="B16" s="224" t="s">
        <v>836</v>
      </c>
      <c r="C16" s="228">
        <v>28.56654106730769</v>
      </c>
      <c r="D16" s="228">
        <v>8.135033071999999</v>
      </c>
      <c r="E16" s="338">
        <v>21.94</v>
      </c>
      <c r="F16" s="228">
        <v>0</v>
      </c>
      <c r="G16" s="228">
        <v>750</v>
      </c>
      <c r="H16" s="228">
        <v>22.99204</v>
      </c>
      <c r="I16" s="228">
        <f t="shared" si="0"/>
        <v>7.082993072000001</v>
      </c>
      <c r="J16" s="259">
        <v>1.057</v>
      </c>
      <c r="K16" s="259">
        <f t="shared" si="1"/>
        <v>24.049039999999998</v>
      </c>
      <c r="L16" s="259">
        <f t="shared" si="2"/>
        <v>21.93504</v>
      </c>
    </row>
    <row r="17" spans="1:12" ht="12.75">
      <c r="A17" s="14">
        <v>7</v>
      </c>
      <c r="B17" s="224" t="s">
        <v>837</v>
      </c>
      <c r="C17" s="228">
        <v>21.262432853773582</v>
      </c>
      <c r="D17" s="228">
        <v>5.196753984000001</v>
      </c>
      <c r="E17" s="338">
        <v>15.172</v>
      </c>
      <c r="F17" s="228">
        <v>0</v>
      </c>
      <c r="G17" s="228">
        <v>750</v>
      </c>
      <c r="H17" s="228">
        <v>17.04</v>
      </c>
      <c r="I17" s="228">
        <f t="shared" si="0"/>
        <v>3.328753984000002</v>
      </c>
      <c r="J17" s="259">
        <v>1.871</v>
      </c>
      <c r="K17" s="259">
        <f t="shared" si="1"/>
        <v>18.910999999999998</v>
      </c>
      <c r="L17" s="259">
        <f t="shared" si="2"/>
        <v>15.168999999999999</v>
      </c>
    </row>
    <row r="18" spans="1:12" ht="12.75">
      <c r="A18" s="14">
        <v>8</v>
      </c>
      <c r="B18" s="224" t="s">
        <v>838</v>
      </c>
      <c r="C18" s="228">
        <v>40.076538570652176</v>
      </c>
      <c r="D18" s="228">
        <v>11.966329087999998</v>
      </c>
      <c r="E18" s="338">
        <v>29.054</v>
      </c>
      <c r="F18" s="228">
        <v>0</v>
      </c>
      <c r="G18" s="228">
        <v>750</v>
      </c>
      <c r="H18" s="228">
        <v>30.410000000000004</v>
      </c>
      <c r="I18" s="228">
        <f t="shared" si="0"/>
        <v>10.610329087999993</v>
      </c>
      <c r="J18" s="259">
        <v>1.361</v>
      </c>
      <c r="K18" s="259">
        <f t="shared" si="1"/>
        <v>31.771000000000004</v>
      </c>
      <c r="L18" s="259">
        <f t="shared" si="2"/>
        <v>29.049000000000003</v>
      </c>
    </row>
    <row r="19" spans="1:12" ht="12.75">
      <c r="A19" s="14">
        <v>9</v>
      </c>
      <c r="B19" s="224" t="s">
        <v>839</v>
      </c>
      <c r="C19" s="228">
        <v>53.515375794117645</v>
      </c>
      <c r="D19" s="228">
        <v>14.290608895999995</v>
      </c>
      <c r="E19" s="338">
        <v>35.604</v>
      </c>
      <c r="F19" s="228">
        <v>0</v>
      </c>
      <c r="G19" s="228">
        <v>750</v>
      </c>
      <c r="H19" s="228">
        <v>33.269999999999996</v>
      </c>
      <c r="I19" s="228">
        <f t="shared" si="0"/>
        <v>16.624608895999998</v>
      </c>
      <c r="J19" s="259">
        <v>6.958</v>
      </c>
      <c r="K19" s="259">
        <f t="shared" si="1"/>
        <v>40.227999999999994</v>
      </c>
      <c r="L19" s="259">
        <f t="shared" si="2"/>
        <v>26.311999999999998</v>
      </c>
    </row>
    <row r="20" spans="1:12" ht="12.75">
      <c r="A20" s="14">
        <v>10</v>
      </c>
      <c r="B20" s="224" t="s">
        <v>840</v>
      </c>
      <c r="C20" s="228">
        <v>18.17716593367347</v>
      </c>
      <c r="D20" s="228">
        <v>5.919188095999999</v>
      </c>
      <c r="E20" s="338">
        <v>14.807</v>
      </c>
      <c r="F20" s="228">
        <v>0</v>
      </c>
      <c r="G20" s="228">
        <v>750</v>
      </c>
      <c r="H20" s="228">
        <v>15.399999999999999</v>
      </c>
      <c r="I20" s="228">
        <f t="shared" si="0"/>
        <v>5.326188096000003</v>
      </c>
      <c r="J20" s="259">
        <v>0.747</v>
      </c>
      <c r="K20" s="259">
        <f t="shared" si="1"/>
        <v>16.147</v>
      </c>
      <c r="L20" s="259">
        <f t="shared" si="2"/>
        <v>14.652999999999999</v>
      </c>
    </row>
    <row r="21" spans="1:12" ht="12.75">
      <c r="A21" s="14">
        <v>11</v>
      </c>
      <c r="B21" s="224" t="s">
        <v>841</v>
      </c>
      <c r="C21" s="228">
        <v>26.47308375</v>
      </c>
      <c r="D21" s="228">
        <v>5.345041536000004</v>
      </c>
      <c r="E21" s="338">
        <v>21.763</v>
      </c>
      <c r="F21" s="228">
        <v>0</v>
      </c>
      <c r="G21" s="228">
        <v>750</v>
      </c>
      <c r="H21" s="228">
        <v>22.87</v>
      </c>
      <c r="I21" s="228">
        <f t="shared" si="0"/>
        <v>4.238041536000004</v>
      </c>
      <c r="J21" s="259">
        <v>1.106</v>
      </c>
      <c r="K21" s="259">
        <f t="shared" si="1"/>
        <v>23.976000000000003</v>
      </c>
      <c r="L21" s="259">
        <f t="shared" si="2"/>
        <v>21.764</v>
      </c>
    </row>
    <row r="22" spans="1:12" ht="12.75">
      <c r="A22" s="14">
        <v>12</v>
      </c>
      <c r="B22" s="224" t="s">
        <v>842</v>
      </c>
      <c r="C22" s="228">
        <v>31.850470154411763</v>
      </c>
      <c r="D22" s="228">
        <v>-4.926645632000003</v>
      </c>
      <c r="E22" s="338">
        <v>26.183</v>
      </c>
      <c r="F22" s="228">
        <v>0</v>
      </c>
      <c r="G22" s="228">
        <v>750</v>
      </c>
      <c r="H22" s="228">
        <v>16.7</v>
      </c>
      <c r="I22" s="228">
        <f t="shared" si="0"/>
        <v>4.556354367999997</v>
      </c>
      <c r="J22" s="259">
        <v>1.324</v>
      </c>
      <c r="K22" s="259">
        <f t="shared" si="1"/>
        <v>18.024</v>
      </c>
      <c r="L22" s="259">
        <f t="shared" si="2"/>
        <v>15.376</v>
      </c>
    </row>
    <row r="23" spans="1:12" ht="12.75">
      <c r="A23" s="14">
        <v>13</v>
      </c>
      <c r="B23" s="224" t="s">
        <v>843</v>
      </c>
      <c r="C23" s="228">
        <v>14.204403194444446</v>
      </c>
      <c r="D23" s="228">
        <v>3.769625664000001</v>
      </c>
      <c r="E23" s="338">
        <v>11.397</v>
      </c>
      <c r="F23" s="228">
        <v>0</v>
      </c>
      <c r="G23" s="228">
        <v>750</v>
      </c>
      <c r="H23" s="228">
        <v>11.96</v>
      </c>
      <c r="I23" s="228">
        <f t="shared" si="0"/>
        <v>3.2066256640000006</v>
      </c>
      <c r="J23" s="259">
        <v>0.564</v>
      </c>
      <c r="K23" s="259">
        <f t="shared" si="1"/>
        <v>12.524000000000001</v>
      </c>
      <c r="L23" s="259">
        <f t="shared" si="2"/>
        <v>11.396</v>
      </c>
    </row>
    <row r="24" spans="1:12" ht="12.75">
      <c r="A24" s="14">
        <v>14</v>
      </c>
      <c r="B24" s="224" t="s">
        <v>844</v>
      </c>
      <c r="C24" s="228">
        <v>16.037366504716978</v>
      </c>
      <c r="D24" s="228">
        <v>5.105700224</v>
      </c>
      <c r="E24" s="338">
        <v>12.689</v>
      </c>
      <c r="F24" s="228">
        <v>0</v>
      </c>
      <c r="G24" s="228">
        <v>750</v>
      </c>
      <c r="H24" s="228">
        <v>13.318000000000001</v>
      </c>
      <c r="I24" s="228">
        <f t="shared" si="0"/>
        <v>4.476700223999998</v>
      </c>
      <c r="J24" s="259">
        <v>0.626</v>
      </c>
      <c r="K24" s="259">
        <f t="shared" si="1"/>
        <v>13.944</v>
      </c>
      <c r="L24" s="259">
        <f t="shared" si="2"/>
        <v>12.692000000000002</v>
      </c>
    </row>
    <row r="25" spans="1:12" ht="12.75">
      <c r="A25" s="14">
        <v>15</v>
      </c>
      <c r="B25" s="224" t="s">
        <v>845</v>
      </c>
      <c r="C25" s="228">
        <v>30.797211489130436</v>
      </c>
      <c r="D25" s="228">
        <v>4.2000449280000005</v>
      </c>
      <c r="E25" s="338">
        <v>22.938</v>
      </c>
      <c r="F25" s="228">
        <v>0</v>
      </c>
      <c r="G25" s="228">
        <v>750</v>
      </c>
      <c r="H25" s="228">
        <v>24.028</v>
      </c>
      <c r="I25" s="228">
        <f t="shared" si="0"/>
        <v>3.1100449280000007</v>
      </c>
      <c r="J25" s="259">
        <v>1.09</v>
      </c>
      <c r="K25" s="259">
        <f t="shared" si="1"/>
        <v>25.118</v>
      </c>
      <c r="L25" s="259">
        <f t="shared" si="2"/>
        <v>22.938</v>
      </c>
    </row>
    <row r="26" spans="1:12" ht="12.75">
      <c r="A26" s="14">
        <v>16</v>
      </c>
      <c r="B26" s="224" t="s">
        <v>846</v>
      </c>
      <c r="C26" s="228">
        <v>49.57594411764706</v>
      </c>
      <c r="D26" s="228">
        <v>10.442143856000001</v>
      </c>
      <c r="E26" s="338">
        <v>34.149</v>
      </c>
      <c r="F26" s="228">
        <v>0</v>
      </c>
      <c r="G26" s="228">
        <v>750</v>
      </c>
      <c r="H26" s="228">
        <v>33.620000000000005</v>
      </c>
      <c r="I26" s="228">
        <f t="shared" si="0"/>
        <v>10.971143855999998</v>
      </c>
      <c r="J26" s="259">
        <v>1.537</v>
      </c>
      <c r="K26" s="259">
        <f t="shared" si="1"/>
        <v>35.157000000000004</v>
      </c>
      <c r="L26" s="259">
        <f t="shared" si="2"/>
        <v>32.083000000000006</v>
      </c>
    </row>
    <row r="27" spans="1:12" ht="12.75">
      <c r="A27" s="14">
        <v>17</v>
      </c>
      <c r="B27" s="224" t="s">
        <v>847</v>
      </c>
      <c r="C27" s="228">
        <v>34.9933974375</v>
      </c>
      <c r="D27" s="228">
        <v>20.337912831999997</v>
      </c>
      <c r="E27" s="338">
        <v>23.675</v>
      </c>
      <c r="F27" s="228">
        <v>0</v>
      </c>
      <c r="G27" s="228">
        <v>750</v>
      </c>
      <c r="H27" s="228">
        <v>39.67</v>
      </c>
      <c r="I27" s="228">
        <f t="shared" si="0"/>
        <v>4.342912831999996</v>
      </c>
      <c r="J27" s="259">
        <v>5.09</v>
      </c>
      <c r="K27" s="259">
        <f t="shared" si="1"/>
        <v>44.760000000000005</v>
      </c>
      <c r="L27" s="259">
        <f t="shared" si="2"/>
        <v>34.58</v>
      </c>
    </row>
    <row r="28" spans="1:12" ht="12.75">
      <c r="A28" s="14">
        <v>18</v>
      </c>
      <c r="B28" s="224" t="s">
        <v>848</v>
      </c>
      <c r="C28" s="228">
        <v>28.5087774375</v>
      </c>
      <c r="D28" s="228">
        <v>4.698002367999997</v>
      </c>
      <c r="E28" s="338">
        <v>22.611</v>
      </c>
      <c r="F28" s="228">
        <v>0</v>
      </c>
      <c r="G28" s="228">
        <v>750</v>
      </c>
      <c r="H28" s="228">
        <v>23.72</v>
      </c>
      <c r="I28" s="228">
        <f t="shared" si="0"/>
        <v>3.589002367999999</v>
      </c>
      <c r="J28" s="259">
        <v>1.113</v>
      </c>
      <c r="K28" s="259">
        <f t="shared" si="1"/>
        <v>24.833</v>
      </c>
      <c r="L28" s="259">
        <f t="shared" si="2"/>
        <v>22.607</v>
      </c>
    </row>
    <row r="29" spans="1:12" ht="12.75">
      <c r="A29" s="14">
        <v>19</v>
      </c>
      <c r="B29" s="224" t="s">
        <v>849</v>
      </c>
      <c r="C29" s="228">
        <v>26.01533208390411</v>
      </c>
      <c r="D29" s="228">
        <v>8.19112192</v>
      </c>
      <c r="E29" s="338">
        <v>19.837</v>
      </c>
      <c r="F29" s="228">
        <v>0</v>
      </c>
      <c r="G29" s="228">
        <v>750</v>
      </c>
      <c r="H29" s="228">
        <v>26.769999999999996</v>
      </c>
      <c r="I29" s="228">
        <f t="shared" si="0"/>
        <v>1.2581219200000042</v>
      </c>
      <c r="J29" s="259">
        <v>0.964</v>
      </c>
      <c r="K29" s="259">
        <f t="shared" si="1"/>
        <v>27.733999999999995</v>
      </c>
      <c r="L29" s="259">
        <f t="shared" si="2"/>
        <v>25.805999999999997</v>
      </c>
    </row>
    <row r="30" spans="1:12" ht="12.75">
      <c r="A30" s="14">
        <v>20</v>
      </c>
      <c r="B30" s="224" t="s">
        <v>850</v>
      </c>
      <c r="C30" s="228">
        <v>18.148062441964285</v>
      </c>
      <c r="D30" s="228">
        <v>2.825639744</v>
      </c>
      <c r="E30" s="338">
        <v>12.686</v>
      </c>
      <c r="F30" s="228">
        <v>0</v>
      </c>
      <c r="G30" s="228">
        <v>750</v>
      </c>
      <c r="H30" s="228">
        <v>13.262</v>
      </c>
      <c r="I30" s="228">
        <f t="shared" si="0"/>
        <v>2.2496397439999996</v>
      </c>
      <c r="J30" s="259">
        <v>0.576</v>
      </c>
      <c r="K30" s="259">
        <f t="shared" si="1"/>
        <v>13.838000000000001</v>
      </c>
      <c r="L30" s="259">
        <f t="shared" si="2"/>
        <v>12.686</v>
      </c>
    </row>
    <row r="31" spans="1:12" ht="12.75">
      <c r="A31" s="14">
        <v>21</v>
      </c>
      <c r="B31" s="224" t="s">
        <v>851</v>
      </c>
      <c r="C31" s="228">
        <v>26.635139789062503</v>
      </c>
      <c r="D31" s="228">
        <v>1.4336775680000002</v>
      </c>
      <c r="E31" s="338">
        <v>16.458</v>
      </c>
      <c r="F31" s="228">
        <v>0</v>
      </c>
      <c r="G31" s="228">
        <v>750</v>
      </c>
      <c r="H31" s="228">
        <v>15.43</v>
      </c>
      <c r="I31" s="228">
        <f t="shared" si="0"/>
        <v>2.461677567999999</v>
      </c>
      <c r="J31" s="259">
        <v>2.896</v>
      </c>
      <c r="K31" s="259">
        <f t="shared" si="1"/>
        <v>18.326</v>
      </c>
      <c r="L31" s="259">
        <f t="shared" si="2"/>
        <v>12.533999999999999</v>
      </c>
    </row>
    <row r="32" spans="1:12" ht="12.75">
      <c r="A32" s="14">
        <v>22</v>
      </c>
      <c r="B32" s="224" t="s">
        <v>852</v>
      </c>
      <c r="C32" s="228">
        <v>20.818831846153845</v>
      </c>
      <c r="D32" s="228">
        <v>3.3180733440000036</v>
      </c>
      <c r="E32" s="338">
        <v>14.456</v>
      </c>
      <c r="F32" s="228">
        <v>0</v>
      </c>
      <c r="G32" s="228">
        <v>750</v>
      </c>
      <c r="H32" s="228">
        <v>11.17</v>
      </c>
      <c r="I32" s="228">
        <f t="shared" si="0"/>
        <v>6.6040733440000015</v>
      </c>
      <c r="J32" s="259">
        <v>0.658</v>
      </c>
      <c r="K32" s="259">
        <f t="shared" si="1"/>
        <v>11.828</v>
      </c>
      <c r="L32" s="259">
        <f t="shared" si="2"/>
        <v>10.512</v>
      </c>
    </row>
    <row r="33" spans="1:12" ht="12.75">
      <c r="A33" s="14">
        <v>23</v>
      </c>
      <c r="B33" s="224" t="s">
        <v>853</v>
      </c>
      <c r="C33" s="228">
        <v>30.566528588028177</v>
      </c>
      <c r="D33" s="228">
        <v>8.607367680000003</v>
      </c>
      <c r="E33" s="338">
        <v>21.491</v>
      </c>
      <c r="F33" s="228">
        <v>0</v>
      </c>
      <c r="G33" s="228">
        <v>750</v>
      </c>
      <c r="H33" s="228">
        <v>19.560000000000002</v>
      </c>
      <c r="I33" s="228">
        <f t="shared" si="0"/>
        <v>10.53836768</v>
      </c>
      <c r="J33" s="259">
        <v>2.369</v>
      </c>
      <c r="K33" s="259">
        <f t="shared" si="1"/>
        <v>21.929000000000002</v>
      </c>
      <c r="L33" s="259">
        <f t="shared" si="2"/>
        <v>17.191000000000003</v>
      </c>
    </row>
    <row r="34" spans="1:12" ht="12.75">
      <c r="A34" s="14">
        <v>24</v>
      </c>
      <c r="B34" s="224" t="s">
        <v>854</v>
      </c>
      <c r="C34" s="228">
        <v>31.39674553125</v>
      </c>
      <c r="D34" s="228">
        <v>12.794478976</v>
      </c>
      <c r="E34" s="338">
        <v>21.037</v>
      </c>
      <c r="F34" s="228">
        <v>0</v>
      </c>
      <c r="G34" s="228">
        <v>750</v>
      </c>
      <c r="H34" s="228">
        <v>25.77</v>
      </c>
      <c r="I34" s="228">
        <f t="shared" si="0"/>
        <v>8.061478976</v>
      </c>
      <c r="J34" s="259">
        <v>0.916</v>
      </c>
      <c r="K34" s="259">
        <f t="shared" si="1"/>
        <v>26.686</v>
      </c>
      <c r="L34" s="259">
        <f t="shared" si="2"/>
        <v>24.854</v>
      </c>
    </row>
    <row r="35" spans="1:9" s="11" customFormat="1" ht="12.75">
      <c r="A35" s="560" t="s">
        <v>13</v>
      </c>
      <c r="B35" s="561"/>
      <c r="C35" s="229">
        <f>SUM(C11:C34)</f>
        <v>660.1423565861559</v>
      </c>
      <c r="D35" s="229">
        <f aca="true" t="shared" si="3" ref="D35:I35">SUM(D11:D34)</f>
        <v>144.57994096000002</v>
      </c>
      <c r="E35" s="229">
        <f t="shared" si="3"/>
        <v>481.2999999999999</v>
      </c>
      <c r="F35" s="229">
        <f t="shared" si="3"/>
        <v>0</v>
      </c>
      <c r="G35" s="229"/>
      <c r="H35" s="229">
        <f t="shared" si="3"/>
        <v>505.92004</v>
      </c>
      <c r="I35" s="229">
        <f t="shared" si="3"/>
        <v>119.95990096000001</v>
      </c>
    </row>
    <row r="37" spans="5:9" ht="12.75">
      <c r="E37" s="24"/>
      <c r="F37" s="24"/>
      <c r="G37" s="24"/>
      <c r="H37" s="17"/>
      <c r="I37" s="17"/>
    </row>
    <row r="38" spans="5:9" ht="12.75">
      <c r="E38" s="9"/>
      <c r="F38" s="9"/>
      <c r="G38" s="9"/>
      <c r="H38" s="24"/>
      <c r="I38" s="17"/>
    </row>
    <row r="39" spans="1:10" ht="12.75">
      <c r="A39" s="29"/>
      <c r="E39" s="29"/>
      <c r="F39" s="29"/>
      <c r="G39" s="29"/>
      <c r="I39" s="760"/>
      <c r="J39" s="760"/>
    </row>
    <row r="40" spans="1:10" ht="12.75">
      <c r="A40" s="559" t="s">
        <v>989</v>
      </c>
      <c r="B40" s="559"/>
      <c r="C40" s="559"/>
      <c r="E40" s="559" t="s">
        <v>990</v>
      </c>
      <c r="F40" s="559"/>
      <c r="G40" s="359"/>
      <c r="H40" s="559" t="s">
        <v>996</v>
      </c>
      <c r="I40" s="559"/>
      <c r="J40" s="559"/>
    </row>
    <row r="41" spans="1:17" ht="12.75">
      <c r="A41" s="559" t="s">
        <v>991</v>
      </c>
      <c r="B41" s="559"/>
      <c r="C41" s="559"/>
      <c r="E41" s="559" t="s">
        <v>992</v>
      </c>
      <c r="F41" s="559"/>
      <c r="G41" s="359"/>
      <c r="H41" s="559" t="s">
        <v>993</v>
      </c>
      <c r="I41" s="559"/>
      <c r="J41" s="559"/>
      <c r="P41" s="354"/>
      <c r="Q41" s="354"/>
    </row>
    <row r="42" spans="1:17" ht="12.75">
      <c r="A42" s="559" t="s">
        <v>994</v>
      </c>
      <c r="B42" s="559"/>
      <c r="C42" s="559"/>
      <c r="E42" s="559" t="s">
        <v>995</v>
      </c>
      <c r="F42" s="559"/>
      <c r="G42" s="359"/>
      <c r="H42" s="559" t="s">
        <v>995</v>
      </c>
      <c r="I42" s="559"/>
      <c r="J42" s="559"/>
      <c r="K42" s="29"/>
      <c r="L42" s="29"/>
      <c r="M42" s="354"/>
      <c r="N42" s="354"/>
      <c r="O42" s="354"/>
      <c r="P42" s="354"/>
      <c r="Q42" s="354"/>
    </row>
    <row r="43" spans="1:17" ht="12.75">
      <c r="A43" s="354"/>
      <c r="B43" s="354"/>
      <c r="C43" s="354"/>
      <c r="D43" s="354"/>
      <c r="E43" s="354"/>
      <c r="F43" s="354"/>
      <c r="G43" s="354"/>
      <c r="H43" s="354"/>
      <c r="I43" s="354"/>
      <c r="J43" s="354"/>
      <c r="K43" s="354"/>
      <c r="L43" s="354"/>
      <c r="M43" s="354"/>
      <c r="N43" s="354"/>
      <c r="O43" s="354"/>
      <c r="P43" s="354"/>
      <c r="Q43" s="354"/>
    </row>
    <row r="44" spans="15:18" ht="12.75">
      <c r="O44" s="354"/>
      <c r="P44" s="354"/>
      <c r="Q44" s="354"/>
      <c r="R44" s="354"/>
    </row>
  </sheetData>
  <sheetProtection/>
  <mergeCells count="14">
    <mergeCell ref="A41:C41"/>
    <mergeCell ref="E41:F41"/>
    <mergeCell ref="H41:J41"/>
    <mergeCell ref="A42:C42"/>
    <mergeCell ref="E42:F42"/>
    <mergeCell ref="H42:J42"/>
    <mergeCell ref="A2:I2"/>
    <mergeCell ref="A5:I5"/>
    <mergeCell ref="I39:J39"/>
    <mergeCell ref="A35:B35"/>
    <mergeCell ref="A3:I3"/>
    <mergeCell ref="A40:C40"/>
    <mergeCell ref="E40:F40"/>
    <mergeCell ref="H40:J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T44"/>
  <sheetViews>
    <sheetView view="pageBreakPreview" zoomScale="70" zoomScaleSheetLayoutView="70" zoomScalePageLayoutView="0" workbookViewId="0" topLeftCell="A1">
      <selection activeCell="H26" sqref="H26"/>
    </sheetView>
  </sheetViews>
  <sheetFormatPr defaultColWidth="9.140625" defaultRowHeight="12.75"/>
  <cols>
    <col min="1" max="1" width="4.421875" style="12" customWidth="1"/>
    <col min="2" max="2" width="37.28125" style="12" customWidth="1"/>
    <col min="3" max="3" width="12.28125" style="12" customWidth="1"/>
    <col min="4" max="5" width="15.140625" style="12" customWidth="1"/>
    <col min="6" max="6" width="15.8515625" style="12" customWidth="1"/>
    <col min="7" max="7" width="12.57421875" style="12" customWidth="1"/>
    <col min="8" max="8" width="23.7109375" style="12" customWidth="1"/>
    <col min="9" max="16384" width="9.140625" style="12" customWidth="1"/>
  </cols>
  <sheetData>
    <row r="1" spans="4:14" ht="15">
      <c r="D1" s="29"/>
      <c r="E1" s="29"/>
      <c r="F1" s="29"/>
      <c r="H1" s="34" t="s">
        <v>61</v>
      </c>
      <c r="I1" s="29"/>
      <c r="M1" s="36"/>
      <c r="N1" s="36"/>
    </row>
    <row r="2" spans="1:14" ht="15">
      <c r="A2" s="684" t="s">
        <v>0</v>
      </c>
      <c r="B2" s="684"/>
      <c r="C2" s="684"/>
      <c r="D2" s="684"/>
      <c r="E2" s="684"/>
      <c r="F2" s="684"/>
      <c r="G2" s="684"/>
      <c r="H2" s="684"/>
      <c r="I2" s="38"/>
      <c r="J2" s="38"/>
      <c r="K2" s="38"/>
      <c r="L2" s="38"/>
      <c r="M2" s="38"/>
      <c r="N2" s="38"/>
    </row>
    <row r="3" spans="1:14" ht="20.25">
      <c r="A3" s="591" t="s">
        <v>645</v>
      </c>
      <c r="B3" s="591"/>
      <c r="C3" s="591"/>
      <c r="D3" s="591"/>
      <c r="E3" s="591"/>
      <c r="F3" s="591"/>
      <c r="G3" s="591"/>
      <c r="H3" s="591"/>
      <c r="I3" s="37"/>
      <c r="J3" s="37"/>
      <c r="K3" s="37"/>
      <c r="L3" s="37"/>
      <c r="M3" s="37"/>
      <c r="N3" s="37"/>
    </row>
    <row r="4" ht="10.5" customHeight="1"/>
    <row r="5" spans="1:8" ht="19.5" customHeight="1">
      <c r="A5" s="592" t="s">
        <v>677</v>
      </c>
      <c r="B5" s="684"/>
      <c r="C5" s="684"/>
      <c r="D5" s="684"/>
      <c r="E5" s="684"/>
      <c r="F5" s="684"/>
      <c r="G5" s="684"/>
      <c r="H5" s="684"/>
    </row>
    <row r="7" spans="1:10" s="10" customFormat="1" ht="15.75" customHeight="1" hidden="1">
      <c r="A7" s="12"/>
      <c r="B7" s="12"/>
      <c r="C7" s="12"/>
      <c r="D7" s="12"/>
      <c r="E7" s="12"/>
      <c r="F7" s="12"/>
      <c r="G7" s="12"/>
      <c r="H7" s="12"/>
      <c r="I7" s="12"/>
      <c r="J7" s="12"/>
    </row>
    <row r="8" spans="1:9" s="10" customFormat="1" ht="15.75">
      <c r="A8" s="593" t="s">
        <v>157</v>
      </c>
      <c r="B8" s="593"/>
      <c r="C8" s="12"/>
      <c r="D8" s="12"/>
      <c r="E8" s="12"/>
      <c r="F8" s="12"/>
      <c r="G8" s="12"/>
      <c r="H8" s="26" t="s">
        <v>21</v>
      </c>
      <c r="I8" s="12"/>
    </row>
    <row r="9" spans="1:20" s="10" customFormat="1" ht="15.75">
      <c r="A9" s="11"/>
      <c r="B9" s="12"/>
      <c r="C9" s="12"/>
      <c r="D9" s="79"/>
      <c r="E9" s="79"/>
      <c r="G9" s="79" t="s">
        <v>959</v>
      </c>
      <c r="H9" s="79"/>
      <c r="J9" s="79"/>
      <c r="K9" s="79"/>
      <c r="L9" s="79"/>
      <c r="S9" s="93"/>
      <c r="T9" s="92"/>
    </row>
    <row r="10" spans="1:8" s="30" customFormat="1" ht="55.5" customHeight="1">
      <c r="A10" s="32"/>
      <c r="B10" s="5" t="s">
        <v>22</v>
      </c>
      <c r="C10" s="5" t="s">
        <v>678</v>
      </c>
      <c r="D10" s="5" t="s">
        <v>667</v>
      </c>
      <c r="E10" s="5" t="s">
        <v>225</v>
      </c>
      <c r="F10" s="5" t="s">
        <v>226</v>
      </c>
      <c r="G10" s="5" t="s">
        <v>67</v>
      </c>
      <c r="H10" s="5" t="s">
        <v>1017</v>
      </c>
    </row>
    <row r="11" spans="1:8" s="30" customFormat="1" ht="14.25" customHeight="1">
      <c r="A11" s="5">
        <v>1</v>
      </c>
      <c r="B11" s="5">
        <v>2</v>
      </c>
      <c r="C11" s="5">
        <v>3</v>
      </c>
      <c r="D11" s="5">
        <v>4</v>
      </c>
      <c r="E11" s="5">
        <v>5</v>
      </c>
      <c r="F11" s="5">
        <v>6</v>
      </c>
      <c r="G11" s="5">
        <v>7</v>
      </c>
      <c r="H11" s="5">
        <v>8</v>
      </c>
    </row>
    <row r="12" spans="1:8" ht="16.5" customHeight="1">
      <c r="A12" s="23" t="s">
        <v>23</v>
      </c>
      <c r="B12" s="23" t="s">
        <v>24</v>
      </c>
      <c r="C12" s="761">
        <f>543.77/2</f>
        <v>271.885</v>
      </c>
      <c r="D12" s="761">
        <v>0</v>
      </c>
      <c r="E12" s="761">
        <f>90+121.4+18.72</f>
        <v>230.12</v>
      </c>
      <c r="F12" s="761">
        <v>0</v>
      </c>
      <c r="G12" s="765">
        <f>E12</f>
        <v>230.12</v>
      </c>
      <c r="H12" s="761">
        <f>D12+E12-G12</f>
        <v>0</v>
      </c>
    </row>
    <row r="13" spans="1:8" ht="20.25" customHeight="1">
      <c r="A13" s="15"/>
      <c r="B13" s="15" t="s">
        <v>25</v>
      </c>
      <c r="C13" s="761"/>
      <c r="D13" s="761"/>
      <c r="E13" s="761"/>
      <c r="F13" s="761"/>
      <c r="G13" s="763"/>
      <c r="H13" s="563"/>
    </row>
    <row r="14" spans="1:8" ht="17.25" customHeight="1">
      <c r="A14" s="15"/>
      <c r="B14" s="15" t="s">
        <v>186</v>
      </c>
      <c r="C14" s="761"/>
      <c r="D14" s="761"/>
      <c r="E14" s="761"/>
      <c r="F14" s="761"/>
      <c r="G14" s="763"/>
      <c r="H14" s="563"/>
    </row>
    <row r="15" spans="1:8" s="30" customFormat="1" ht="33.75" customHeight="1">
      <c r="A15" s="31"/>
      <c r="B15" s="31" t="s">
        <v>187</v>
      </c>
      <c r="C15" s="761"/>
      <c r="D15" s="761"/>
      <c r="E15" s="761"/>
      <c r="F15" s="761"/>
      <c r="G15" s="764"/>
      <c r="H15" s="563"/>
    </row>
    <row r="16" spans="1:8" s="30" customFormat="1" ht="12.75">
      <c r="A16" s="31"/>
      <c r="B16" s="32" t="s">
        <v>26</v>
      </c>
      <c r="C16" s="342">
        <f aca="true" t="shared" si="0" ref="C16:H16">C12</f>
        <v>271.885</v>
      </c>
      <c r="D16" s="342">
        <f t="shared" si="0"/>
        <v>0</v>
      </c>
      <c r="E16" s="342">
        <f t="shared" si="0"/>
        <v>230.12</v>
      </c>
      <c r="F16" s="342">
        <f t="shared" si="0"/>
        <v>0</v>
      </c>
      <c r="G16" s="342">
        <f t="shared" si="0"/>
        <v>230.12</v>
      </c>
      <c r="H16" s="342">
        <f t="shared" si="0"/>
        <v>0</v>
      </c>
    </row>
    <row r="17" spans="1:8" s="30" customFormat="1" ht="40.5" customHeight="1">
      <c r="A17" s="32" t="s">
        <v>27</v>
      </c>
      <c r="B17" s="32" t="s">
        <v>224</v>
      </c>
      <c r="C17" s="761">
        <v>271.885</v>
      </c>
      <c r="D17" s="761">
        <v>101.86</v>
      </c>
      <c r="E17" s="761">
        <f>438.83-230.12</f>
        <v>208.70999999999998</v>
      </c>
      <c r="F17" s="761">
        <v>0</v>
      </c>
      <c r="G17" s="762">
        <f>501.64+15.85-230.12</f>
        <v>287.37</v>
      </c>
      <c r="H17" s="761">
        <f>D17+E17-G17</f>
        <v>23.19999999999999</v>
      </c>
    </row>
    <row r="18" spans="1:8" ht="28.5" customHeight="1">
      <c r="A18" s="15"/>
      <c r="B18" s="113" t="s">
        <v>189</v>
      </c>
      <c r="C18" s="761"/>
      <c r="D18" s="761"/>
      <c r="E18" s="761"/>
      <c r="F18" s="761"/>
      <c r="G18" s="763"/>
      <c r="H18" s="563"/>
    </row>
    <row r="19" spans="1:8" ht="19.5" customHeight="1">
      <c r="A19" s="15"/>
      <c r="B19" s="31" t="s">
        <v>28</v>
      </c>
      <c r="C19" s="761"/>
      <c r="D19" s="761"/>
      <c r="E19" s="761"/>
      <c r="F19" s="761"/>
      <c r="G19" s="763"/>
      <c r="H19" s="563"/>
    </row>
    <row r="20" spans="1:8" ht="21.75" customHeight="1">
      <c r="A20" s="15"/>
      <c r="B20" s="31" t="s">
        <v>190</v>
      </c>
      <c r="C20" s="761"/>
      <c r="D20" s="761"/>
      <c r="E20" s="761"/>
      <c r="F20" s="761"/>
      <c r="G20" s="763"/>
      <c r="H20" s="563"/>
    </row>
    <row r="21" spans="1:8" s="30" customFormat="1" ht="27.75" customHeight="1">
      <c r="A21" s="31"/>
      <c r="B21" s="31" t="s">
        <v>29</v>
      </c>
      <c r="C21" s="761"/>
      <c r="D21" s="761"/>
      <c r="E21" s="761"/>
      <c r="F21" s="761"/>
      <c r="G21" s="763"/>
      <c r="H21" s="563"/>
    </row>
    <row r="22" spans="1:8" s="30" customFormat="1" ht="19.5" customHeight="1">
      <c r="A22" s="31"/>
      <c r="B22" s="31" t="s">
        <v>188</v>
      </c>
      <c r="C22" s="761"/>
      <c r="D22" s="761"/>
      <c r="E22" s="761"/>
      <c r="F22" s="761"/>
      <c r="G22" s="763"/>
      <c r="H22" s="563"/>
    </row>
    <row r="23" spans="1:8" s="30" customFormat="1" ht="27.75" customHeight="1">
      <c r="A23" s="31"/>
      <c r="B23" s="31" t="s">
        <v>191</v>
      </c>
      <c r="C23" s="761"/>
      <c r="D23" s="761"/>
      <c r="E23" s="761"/>
      <c r="F23" s="761"/>
      <c r="G23" s="763"/>
      <c r="H23" s="563"/>
    </row>
    <row r="24" spans="1:8" s="30" customFormat="1" ht="18.75" customHeight="1">
      <c r="A24" s="32"/>
      <c r="B24" s="31" t="s">
        <v>192</v>
      </c>
      <c r="C24" s="761"/>
      <c r="D24" s="761"/>
      <c r="E24" s="761"/>
      <c r="F24" s="761"/>
      <c r="G24" s="764"/>
      <c r="H24" s="563"/>
    </row>
    <row r="25" spans="1:8" s="30" customFormat="1" ht="19.5" customHeight="1">
      <c r="A25" s="32"/>
      <c r="B25" s="32" t="s">
        <v>26</v>
      </c>
      <c r="C25" s="342">
        <f aca="true" t="shared" si="1" ref="C25:H25">C17</f>
        <v>271.885</v>
      </c>
      <c r="D25" s="342">
        <f t="shared" si="1"/>
        <v>101.86</v>
      </c>
      <c r="E25" s="342">
        <f t="shared" si="1"/>
        <v>208.70999999999998</v>
      </c>
      <c r="F25" s="342">
        <f t="shared" si="1"/>
        <v>0</v>
      </c>
      <c r="G25" s="342">
        <f t="shared" si="1"/>
        <v>287.37</v>
      </c>
      <c r="H25" s="342">
        <f t="shared" si="1"/>
        <v>23.19999999999999</v>
      </c>
    </row>
    <row r="26" spans="1:8" ht="12.75">
      <c r="A26" s="15"/>
      <c r="B26" s="23" t="s">
        <v>30</v>
      </c>
      <c r="C26" s="342">
        <f aca="true" t="shared" si="2" ref="C26:H26">C16+C25</f>
        <v>543.77</v>
      </c>
      <c r="D26" s="342">
        <f t="shared" si="2"/>
        <v>101.86</v>
      </c>
      <c r="E26" s="342">
        <f t="shared" si="2"/>
        <v>438.83</v>
      </c>
      <c r="F26" s="342">
        <f t="shared" si="2"/>
        <v>0</v>
      </c>
      <c r="G26" s="342">
        <f t="shared" si="2"/>
        <v>517.49</v>
      </c>
      <c r="H26" s="342">
        <f t="shared" si="2"/>
        <v>23.19999999999999</v>
      </c>
    </row>
    <row r="27" s="30" customFormat="1" ht="15.75" customHeight="1"/>
    <row r="28" s="30" customFormat="1" ht="15.75" customHeight="1"/>
    <row r="29" s="30" customFormat="1" ht="12.75" customHeight="1"/>
    <row r="30" spans="1:10" s="30" customFormat="1" ht="13.5" customHeight="1">
      <c r="A30" s="559" t="s">
        <v>989</v>
      </c>
      <c r="B30" s="559"/>
      <c r="C30" s="359"/>
      <c r="D30" s="559" t="s">
        <v>990</v>
      </c>
      <c r="E30" s="559"/>
      <c r="F30" s="359"/>
      <c r="G30" s="559" t="s">
        <v>996</v>
      </c>
      <c r="H30" s="559"/>
      <c r="I30" s="359"/>
      <c r="J30" s="359"/>
    </row>
    <row r="31" spans="1:10" s="30" customFormat="1" ht="12" customHeight="1">
      <c r="A31" s="559" t="s">
        <v>991</v>
      </c>
      <c r="B31" s="559"/>
      <c r="C31" s="359"/>
      <c r="D31" s="559" t="s">
        <v>992</v>
      </c>
      <c r="E31" s="559"/>
      <c r="F31" s="359"/>
      <c r="G31" s="559" t="s">
        <v>993</v>
      </c>
      <c r="H31" s="559"/>
      <c r="I31" s="359"/>
      <c r="J31" s="359"/>
    </row>
    <row r="32" spans="1:10" s="30" customFormat="1" ht="12.75" customHeight="1">
      <c r="A32" s="559" t="s">
        <v>994</v>
      </c>
      <c r="B32" s="559"/>
      <c r="C32" s="359"/>
      <c r="D32" s="559" t="s">
        <v>995</v>
      </c>
      <c r="E32" s="559"/>
      <c r="F32" s="359"/>
      <c r="G32" s="559" t="s">
        <v>995</v>
      </c>
      <c r="H32" s="559"/>
      <c r="I32" s="359"/>
      <c r="J32" s="359"/>
    </row>
    <row r="41" spans="16:17" ht="12.75">
      <c r="P41" s="354"/>
      <c r="Q41" s="354"/>
    </row>
    <row r="42" spans="1:17" ht="12.75">
      <c r="A42" s="354"/>
      <c r="B42" s="354"/>
      <c r="C42" s="354"/>
      <c r="D42" s="354"/>
      <c r="E42" s="354"/>
      <c r="F42" s="354"/>
      <c r="G42" s="354"/>
      <c r="H42" s="354"/>
      <c r="I42" s="354"/>
      <c r="J42" s="354"/>
      <c r="K42" s="354"/>
      <c r="L42" s="354"/>
      <c r="M42" s="354"/>
      <c r="N42" s="354"/>
      <c r="O42" s="354"/>
      <c r="P42" s="354"/>
      <c r="Q42" s="354"/>
    </row>
    <row r="43" spans="1:17" ht="12.75">
      <c r="A43" s="354"/>
      <c r="B43" s="354"/>
      <c r="C43" s="354"/>
      <c r="D43" s="354"/>
      <c r="E43" s="354"/>
      <c r="F43" s="354"/>
      <c r="G43" s="354"/>
      <c r="H43" s="354"/>
      <c r="I43" s="354"/>
      <c r="J43" s="354"/>
      <c r="K43" s="354"/>
      <c r="L43" s="354"/>
      <c r="M43" s="354"/>
      <c r="N43" s="354"/>
      <c r="O43" s="354"/>
      <c r="P43" s="354"/>
      <c r="Q43" s="354"/>
    </row>
    <row r="44" spans="15:18" ht="12.75">
      <c r="O44" s="354"/>
      <c r="P44" s="354"/>
      <c r="Q44" s="354"/>
      <c r="R44" s="354"/>
    </row>
  </sheetData>
  <sheetProtection/>
  <mergeCells count="25">
    <mergeCell ref="A2:H2"/>
    <mergeCell ref="A3:H3"/>
    <mergeCell ref="C12:C15"/>
    <mergeCell ref="D12:D15"/>
    <mergeCell ref="F12:F15"/>
    <mergeCell ref="H12:H15"/>
    <mergeCell ref="A5:H5"/>
    <mergeCell ref="E12:E15"/>
    <mergeCell ref="A8:B8"/>
    <mergeCell ref="G12:G15"/>
    <mergeCell ref="D17:D24"/>
    <mergeCell ref="E17:E24"/>
    <mergeCell ref="F17:F24"/>
    <mergeCell ref="C17:C24"/>
    <mergeCell ref="H17:H24"/>
    <mergeCell ref="G17:G24"/>
    <mergeCell ref="D32:E32"/>
    <mergeCell ref="G30:H30"/>
    <mergeCell ref="G31:H31"/>
    <mergeCell ref="G32:H32"/>
    <mergeCell ref="A30:B30"/>
    <mergeCell ref="A31:B31"/>
    <mergeCell ref="D30:E30"/>
    <mergeCell ref="D31:E31"/>
    <mergeCell ref="A32:B3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R44"/>
  <sheetViews>
    <sheetView view="pageBreakPreview" zoomScale="70" zoomScaleSheetLayoutView="70" zoomScalePageLayoutView="0" workbookViewId="0" topLeftCell="A1">
      <selection activeCell="L33" sqref="L33"/>
    </sheetView>
  </sheetViews>
  <sheetFormatPr defaultColWidth="9.140625" defaultRowHeight="12.75"/>
  <cols>
    <col min="1" max="1" width="9.140625" style="12" customWidth="1"/>
    <col min="2" max="2" width="19.28125" style="12" customWidth="1"/>
    <col min="3" max="3" width="28.421875" style="12" customWidth="1"/>
    <col min="4" max="4" width="27.7109375" style="12" customWidth="1"/>
    <col min="5" max="5" width="30.28125" style="12" customWidth="1"/>
    <col min="6" max="16384" width="9.140625" style="12" customWidth="1"/>
  </cols>
  <sheetData>
    <row r="1" spans="5:6" ht="15">
      <c r="E1" s="34" t="s">
        <v>516</v>
      </c>
      <c r="F1" s="36"/>
    </row>
    <row r="2" spans="1:6" ht="15">
      <c r="A2" s="684" t="s">
        <v>0</v>
      </c>
      <c r="B2" s="684"/>
      <c r="C2" s="684"/>
      <c r="D2" s="684"/>
      <c r="E2" s="684"/>
      <c r="F2" s="38"/>
    </row>
    <row r="3" spans="2:6" ht="20.25">
      <c r="B3" s="98"/>
      <c r="C3" s="37" t="s">
        <v>645</v>
      </c>
      <c r="D3" s="37"/>
      <c r="E3" s="37"/>
      <c r="F3" s="37"/>
    </row>
    <row r="4" ht="10.5" customHeight="1"/>
    <row r="5" spans="1:5" ht="15.75">
      <c r="A5" s="691" t="s">
        <v>679</v>
      </c>
      <c r="B5" s="691"/>
      <c r="C5" s="691"/>
      <c r="D5" s="691"/>
      <c r="E5" s="691"/>
    </row>
    <row r="8" ht="12.75">
      <c r="A8" s="11" t="s">
        <v>20</v>
      </c>
    </row>
    <row r="9" spans="5:18" ht="12.75">
      <c r="E9" s="79" t="s">
        <v>959</v>
      </c>
      <c r="F9" s="79"/>
      <c r="Q9" s="15"/>
      <c r="R9" s="17"/>
    </row>
    <row r="10" spans="1:18" ht="26.25" customHeight="1">
      <c r="A10" s="573" t="s">
        <v>1</v>
      </c>
      <c r="B10" s="573" t="s">
        <v>2</v>
      </c>
      <c r="C10" s="767" t="s">
        <v>512</v>
      </c>
      <c r="D10" s="768"/>
      <c r="E10" s="769"/>
      <c r="Q10" s="17"/>
      <c r="R10" s="17"/>
    </row>
    <row r="11" spans="1:5" ht="56.25" customHeight="1">
      <c r="A11" s="573"/>
      <c r="B11" s="573"/>
      <c r="C11" s="5" t="s">
        <v>514</v>
      </c>
      <c r="D11" s="5" t="s">
        <v>515</v>
      </c>
      <c r="E11" s="5" t="s">
        <v>513</v>
      </c>
    </row>
    <row r="12" spans="1:5" s="17" customFormat="1" ht="12.75">
      <c r="A12" s="60">
        <v>1</v>
      </c>
      <c r="B12" s="5">
        <v>2</v>
      </c>
      <c r="C12" s="60">
        <v>3</v>
      </c>
      <c r="D12" s="5">
        <v>4</v>
      </c>
      <c r="E12" s="60">
        <v>5</v>
      </c>
    </row>
    <row r="13" spans="1:7" ht="14.25">
      <c r="A13" s="528">
        <v>1</v>
      </c>
      <c r="B13" s="529" t="s">
        <v>831</v>
      </c>
      <c r="C13" s="45">
        <v>3</v>
      </c>
      <c r="D13" s="45">
        <v>2</v>
      </c>
      <c r="E13" s="45">
        <f>'AT-3'!G11</f>
        <v>2477</v>
      </c>
      <c r="G13" s="12">
        <f>C13+D13</f>
        <v>5</v>
      </c>
    </row>
    <row r="14" spans="1:7" ht="14.25">
      <c r="A14" s="528">
        <v>2</v>
      </c>
      <c r="B14" s="529" t="s">
        <v>832</v>
      </c>
      <c r="C14" s="45">
        <v>3</v>
      </c>
      <c r="D14" s="45">
        <v>7</v>
      </c>
      <c r="E14" s="45">
        <f>'AT-3'!G12</f>
        <v>996</v>
      </c>
      <c r="G14" s="12">
        <f aca="true" t="shared" si="0" ref="G14:G36">C14+D14</f>
        <v>10</v>
      </c>
    </row>
    <row r="15" spans="1:7" ht="14.25">
      <c r="A15" s="528">
        <v>3</v>
      </c>
      <c r="B15" s="529" t="s">
        <v>833</v>
      </c>
      <c r="C15" s="45">
        <v>4</v>
      </c>
      <c r="D15" s="45">
        <v>3</v>
      </c>
      <c r="E15" s="45">
        <f>'AT-3'!G13</f>
        <v>580</v>
      </c>
      <c r="G15" s="12">
        <f t="shared" si="0"/>
        <v>7</v>
      </c>
    </row>
    <row r="16" spans="1:7" ht="14.25">
      <c r="A16" s="528">
        <v>4</v>
      </c>
      <c r="B16" s="529" t="s">
        <v>834</v>
      </c>
      <c r="C16" s="45">
        <v>0</v>
      </c>
      <c r="D16" s="45">
        <v>6</v>
      </c>
      <c r="E16" s="45">
        <f>'AT-3'!G14</f>
        <v>1731</v>
      </c>
      <c r="G16" s="12">
        <f t="shared" si="0"/>
        <v>6</v>
      </c>
    </row>
    <row r="17" spans="1:7" ht="14.25">
      <c r="A17" s="528">
        <v>5</v>
      </c>
      <c r="B17" s="529" t="s">
        <v>835</v>
      </c>
      <c r="C17" s="45">
        <v>0</v>
      </c>
      <c r="D17" s="45">
        <v>4</v>
      </c>
      <c r="E17" s="45">
        <f>'AT-3'!G15</f>
        <v>1078</v>
      </c>
      <c r="G17" s="12">
        <f t="shared" si="0"/>
        <v>4</v>
      </c>
    </row>
    <row r="18" spans="1:7" ht="14.25">
      <c r="A18" s="528">
        <v>6</v>
      </c>
      <c r="B18" s="529" t="s">
        <v>836</v>
      </c>
      <c r="C18" s="45">
        <v>3</v>
      </c>
      <c r="D18" s="45">
        <v>9</v>
      </c>
      <c r="E18" s="45">
        <f>'AT-3'!G16</f>
        <v>1954</v>
      </c>
      <c r="G18" s="12">
        <f t="shared" si="0"/>
        <v>12</v>
      </c>
    </row>
    <row r="19" spans="1:7" ht="14.25">
      <c r="A19" s="528">
        <v>7</v>
      </c>
      <c r="B19" s="529" t="s">
        <v>837</v>
      </c>
      <c r="C19" s="45">
        <v>2</v>
      </c>
      <c r="D19" s="45">
        <v>0</v>
      </c>
      <c r="E19" s="45">
        <f>'AT-3'!G17</f>
        <v>1660</v>
      </c>
      <c r="G19" s="12">
        <f t="shared" si="0"/>
        <v>2</v>
      </c>
    </row>
    <row r="20" spans="1:7" ht="14.25">
      <c r="A20" s="528">
        <v>8</v>
      </c>
      <c r="B20" s="529" t="s">
        <v>838</v>
      </c>
      <c r="C20" s="45">
        <v>0</v>
      </c>
      <c r="D20" s="45">
        <v>0</v>
      </c>
      <c r="E20" s="45">
        <f>'AT-3'!G18</f>
        <v>2252</v>
      </c>
      <c r="G20" s="12">
        <f t="shared" si="0"/>
        <v>0</v>
      </c>
    </row>
    <row r="21" spans="1:7" ht="14.25">
      <c r="A21" s="528">
        <v>9</v>
      </c>
      <c r="B21" s="529" t="s">
        <v>839</v>
      </c>
      <c r="C21" s="45">
        <v>3</v>
      </c>
      <c r="D21" s="45">
        <v>9</v>
      </c>
      <c r="E21" s="45">
        <f>'AT-3'!G19</f>
        <v>2574</v>
      </c>
      <c r="G21" s="12">
        <f t="shared" si="0"/>
        <v>12</v>
      </c>
    </row>
    <row r="22" spans="1:7" ht="14.25">
      <c r="A22" s="528">
        <v>10</v>
      </c>
      <c r="B22" s="529" t="s">
        <v>840</v>
      </c>
      <c r="C22" s="45">
        <v>4</v>
      </c>
      <c r="D22" s="45">
        <v>4</v>
      </c>
      <c r="E22" s="45">
        <f>'AT-3'!G20</f>
        <v>1175</v>
      </c>
      <c r="G22" s="12">
        <f t="shared" si="0"/>
        <v>8</v>
      </c>
    </row>
    <row r="23" spans="1:7" ht="14.25">
      <c r="A23" s="528">
        <v>11</v>
      </c>
      <c r="B23" s="529" t="s">
        <v>841</v>
      </c>
      <c r="C23" s="45">
        <v>7</v>
      </c>
      <c r="D23" s="45">
        <v>1</v>
      </c>
      <c r="E23" s="45">
        <f>'AT-3'!G21</f>
        <v>1533</v>
      </c>
      <c r="G23" s="12">
        <f t="shared" si="0"/>
        <v>8</v>
      </c>
    </row>
    <row r="24" spans="1:7" ht="14.25">
      <c r="A24" s="528">
        <v>12</v>
      </c>
      <c r="B24" s="529" t="s">
        <v>842</v>
      </c>
      <c r="C24" s="45">
        <v>4</v>
      </c>
      <c r="D24" s="45">
        <v>1</v>
      </c>
      <c r="E24" s="45">
        <f>'AT-3'!G22</f>
        <v>1597</v>
      </c>
      <c r="G24" s="12">
        <f t="shared" si="0"/>
        <v>5</v>
      </c>
    </row>
    <row r="25" spans="1:7" ht="14.25">
      <c r="A25" s="528">
        <v>13</v>
      </c>
      <c r="B25" s="529" t="s">
        <v>843</v>
      </c>
      <c r="C25" s="45">
        <v>3</v>
      </c>
      <c r="D25" s="45">
        <v>0</v>
      </c>
      <c r="E25" s="45">
        <f>'AT-3'!G23</f>
        <v>700</v>
      </c>
      <c r="G25" s="12">
        <f t="shared" si="0"/>
        <v>3</v>
      </c>
    </row>
    <row r="26" spans="1:7" ht="14.25">
      <c r="A26" s="528">
        <v>14</v>
      </c>
      <c r="B26" s="529" t="s">
        <v>844</v>
      </c>
      <c r="C26" s="45">
        <v>1</v>
      </c>
      <c r="D26" s="45">
        <v>6</v>
      </c>
      <c r="E26" s="45">
        <f>'AT-3'!G24</f>
        <v>723</v>
      </c>
      <c r="G26" s="12">
        <f t="shared" si="0"/>
        <v>7</v>
      </c>
    </row>
    <row r="27" spans="1:7" ht="14.25">
      <c r="A27" s="528">
        <v>15</v>
      </c>
      <c r="B27" s="529" t="s">
        <v>845</v>
      </c>
      <c r="C27" s="530">
        <v>0</v>
      </c>
      <c r="D27" s="45">
        <v>0</v>
      </c>
      <c r="E27" s="45">
        <f>'AT-3'!G25</f>
        <v>1794</v>
      </c>
      <c r="G27" s="12">
        <f t="shared" si="0"/>
        <v>0</v>
      </c>
    </row>
    <row r="28" spans="1:7" ht="14.25">
      <c r="A28" s="528">
        <v>16</v>
      </c>
      <c r="B28" s="529" t="s">
        <v>846</v>
      </c>
      <c r="C28" s="45">
        <v>0</v>
      </c>
      <c r="D28" s="45">
        <v>0</v>
      </c>
      <c r="E28" s="45">
        <f>'AT-3'!G26</f>
        <v>3359</v>
      </c>
      <c r="G28" s="12">
        <f t="shared" si="0"/>
        <v>0</v>
      </c>
    </row>
    <row r="29" spans="1:7" ht="14.25">
      <c r="A29" s="528">
        <v>17</v>
      </c>
      <c r="B29" s="529" t="s">
        <v>847</v>
      </c>
      <c r="C29" s="45">
        <v>1</v>
      </c>
      <c r="D29" s="45">
        <v>0</v>
      </c>
      <c r="E29" s="45">
        <f>'AT-3'!G27</f>
        <v>1832</v>
      </c>
      <c r="G29" s="12">
        <f t="shared" si="0"/>
        <v>1</v>
      </c>
    </row>
    <row r="30" spans="1:7" ht="14.25">
      <c r="A30" s="528">
        <v>18</v>
      </c>
      <c r="B30" s="529" t="s">
        <v>848</v>
      </c>
      <c r="C30" s="45">
        <v>0</v>
      </c>
      <c r="D30" s="45">
        <v>0</v>
      </c>
      <c r="E30" s="45">
        <f>'AT-3'!G28</f>
        <v>1730</v>
      </c>
      <c r="G30" s="12">
        <f t="shared" si="0"/>
        <v>0</v>
      </c>
    </row>
    <row r="31" spans="1:7" ht="14.25">
      <c r="A31" s="528">
        <v>19</v>
      </c>
      <c r="B31" s="529" t="s">
        <v>849</v>
      </c>
      <c r="C31" s="45">
        <v>0</v>
      </c>
      <c r="D31" s="45">
        <v>0</v>
      </c>
      <c r="E31" s="45">
        <f>'AT-3'!G29</f>
        <v>2497</v>
      </c>
      <c r="G31" s="12">
        <f t="shared" si="0"/>
        <v>0</v>
      </c>
    </row>
    <row r="32" spans="1:7" ht="14.25">
      <c r="A32" s="528">
        <v>20</v>
      </c>
      <c r="B32" s="529" t="s">
        <v>850</v>
      </c>
      <c r="C32" s="45">
        <v>0</v>
      </c>
      <c r="D32" s="45">
        <v>0</v>
      </c>
      <c r="E32" s="45">
        <f>'AT-3'!G30</f>
        <v>1166</v>
      </c>
      <c r="G32" s="12">
        <f t="shared" si="0"/>
        <v>0</v>
      </c>
    </row>
    <row r="33" spans="1:7" ht="14.25">
      <c r="A33" s="528">
        <v>21</v>
      </c>
      <c r="B33" s="529" t="s">
        <v>851</v>
      </c>
      <c r="C33" s="45">
        <v>8</v>
      </c>
      <c r="D33" s="45">
        <v>9</v>
      </c>
      <c r="E33" s="45">
        <f>'AT-3'!G31</f>
        <v>1434</v>
      </c>
      <c r="G33" s="12">
        <f t="shared" si="0"/>
        <v>17</v>
      </c>
    </row>
    <row r="34" spans="1:7" ht="14.25">
      <c r="A34" s="528">
        <v>22</v>
      </c>
      <c r="B34" s="529" t="s">
        <v>852</v>
      </c>
      <c r="C34" s="45">
        <v>2</v>
      </c>
      <c r="D34" s="45">
        <v>3</v>
      </c>
      <c r="E34" s="45">
        <f>'AT-3'!G32</f>
        <v>1061</v>
      </c>
      <c r="G34" s="12">
        <f t="shared" si="0"/>
        <v>5</v>
      </c>
    </row>
    <row r="35" spans="1:7" ht="14.25">
      <c r="A35" s="528">
        <v>23</v>
      </c>
      <c r="B35" s="529" t="s">
        <v>853</v>
      </c>
      <c r="C35" s="45">
        <v>3</v>
      </c>
      <c r="D35" s="45">
        <v>0</v>
      </c>
      <c r="E35" s="45">
        <f>'AT-3'!G33</f>
        <v>1727</v>
      </c>
      <c r="G35" s="12">
        <f t="shared" si="0"/>
        <v>3</v>
      </c>
    </row>
    <row r="36" spans="1:7" ht="14.25">
      <c r="A36" s="528">
        <v>24</v>
      </c>
      <c r="B36" s="529" t="s">
        <v>854</v>
      </c>
      <c r="C36" s="45">
        <v>0</v>
      </c>
      <c r="D36" s="45">
        <v>0</v>
      </c>
      <c r="E36" s="45">
        <f>'AT-3'!G34</f>
        <v>2092</v>
      </c>
      <c r="G36" s="12">
        <f t="shared" si="0"/>
        <v>0</v>
      </c>
    </row>
    <row r="37" spans="1:5" ht="12.75">
      <c r="A37" s="560" t="s">
        <v>13</v>
      </c>
      <c r="B37" s="561"/>
      <c r="C37" s="15">
        <f>SUM(C13:C36)</f>
        <v>51</v>
      </c>
      <c r="D37" s="15">
        <f>SUM(D13:D36)</f>
        <v>64</v>
      </c>
      <c r="E37" s="15">
        <f>SUM(E13:E36)</f>
        <v>39722</v>
      </c>
    </row>
    <row r="38" ht="12.75">
      <c r="E38" s="24"/>
    </row>
    <row r="39" ht="12.75">
      <c r="E39" s="9"/>
    </row>
    <row r="40" spans="1:6" ht="12.75">
      <c r="A40" s="29"/>
      <c r="E40" s="29"/>
      <c r="F40" s="95"/>
    </row>
    <row r="41" spans="1:17" ht="12.75" customHeight="1">
      <c r="A41" s="770" t="s">
        <v>989</v>
      </c>
      <c r="B41" s="770"/>
      <c r="C41" s="770" t="s">
        <v>990</v>
      </c>
      <c r="D41" s="770"/>
      <c r="E41" s="360" t="s">
        <v>996</v>
      </c>
      <c r="P41" s="354"/>
      <c r="Q41" s="354"/>
    </row>
    <row r="42" spans="1:17" ht="12.75" customHeight="1">
      <c r="A42" s="770" t="s">
        <v>991</v>
      </c>
      <c r="B42" s="770"/>
      <c r="C42" s="770" t="s">
        <v>997</v>
      </c>
      <c r="D42" s="770"/>
      <c r="E42" s="360" t="s">
        <v>993</v>
      </c>
      <c r="F42" s="354"/>
      <c r="G42" s="354"/>
      <c r="H42" s="354"/>
      <c r="I42" s="354"/>
      <c r="J42" s="354"/>
      <c r="K42" s="354"/>
      <c r="L42" s="354"/>
      <c r="M42" s="354"/>
      <c r="N42" s="354"/>
      <c r="O42" s="354"/>
      <c r="P42" s="354"/>
      <c r="Q42" s="354"/>
    </row>
    <row r="43" spans="1:17" ht="12.75">
      <c r="A43" s="766" t="s">
        <v>994</v>
      </c>
      <c r="B43" s="766"/>
      <c r="C43" s="766" t="s">
        <v>995</v>
      </c>
      <c r="D43" s="766"/>
      <c r="E43" s="362" t="s">
        <v>995</v>
      </c>
      <c r="F43" s="29"/>
      <c r="G43" s="29"/>
      <c r="H43" s="29"/>
      <c r="I43" s="354"/>
      <c r="J43" s="354"/>
      <c r="K43" s="354"/>
      <c r="L43" s="354"/>
      <c r="M43" s="354"/>
      <c r="N43" s="354"/>
      <c r="O43" s="354"/>
      <c r="P43" s="354"/>
      <c r="Q43" s="354"/>
    </row>
    <row r="44" spans="15:18" ht="12.75">
      <c r="O44" s="354"/>
      <c r="P44" s="354"/>
      <c r="Q44" s="354"/>
      <c r="R44" s="354"/>
    </row>
  </sheetData>
  <sheetProtection/>
  <mergeCells count="12">
    <mergeCell ref="A2:E2"/>
    <mergeCell ref="A41:B41"/>
    <mergeCell ref="C41:D41"/>
    <mergeCell ref="A42:B42"/>
    <mergeCell ref="C42:D42"/>
    <mergeCell ref="A43:B43"/>
    <mergeCell ref="C43:D43"/>
    <mergeCell ref="A5:E5"/>
    <mergeCell ref="C10:E10"/>
    <mergeCell ref="B10:B11"/>
    <mergeCell ref="A10:A11"/>
    <mergeCell ref="A37:B3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9"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G29" sqref="G29"/>
    </sheetView>
  </sheetViews>
  <sheetFormatPr defaultColWidth="9.140625" defaultRowHeight="12.75"/>
  <sheetData>
    <row r="2" ht="12.75">
      <c r="B2" s="11"/>
    </row>
    <row r="4" spans="2:8" ht="12.75" customHeight="1">
      <c r="B4" s="558"/>
      <c r="C4" s="558"/>
      <c r="D4" s="558"/>
      <c r="E4" s="558"/>
      <c r="F4" s="558"/>
      <c r="G4" s="558"/>
      <c r="H4" s="558"/>
    </row>
    <row r="5" spans="2:8" ht="12.75" customHeight="1">
      <c r="B5" s="558"/>
      <c r="C5" s="558"/>
      <c r="D5" s="558"/>
      <c r="E5" s="558"/>
      <c r="F5" s="558"/>
      <c r="G5" s="558"/>
      <c r="H5" s="558"/>
    </row>
    <row r="6" spans="2:8" ht="12.75" customHeight="1">
      <c r="B6" s="558"/>
      <c r="C6" s="558"/>
      <c r="D6" s="558"/>
      <c r="E6" s="558"/>
      <c r="F6" s="558"/>
      <c r="G6" s="558"/>
      <c r="H6" s="558"/>
    </row>
    <row r="7" spans="2:8" ht="12.75" customHeight="1">
      <c r="B7" s="558"/>
      <c r="C7" s="558"/>
      <c r="D7" s="558"/>
      <c r="E7" s="558"/>
      <c r="F7" s="558"/>
      <c r="G7" s="558"/>
      <c r="H7" s="558"/>
    </row>
    <row r="8" spans="2:8" ht="12.75" customHeight="1">
      <c r="B8" s="558"/>
      <c r="C8" s="558"/>
      <c r="D8" s="558"/>
      <c r="E8" s="558"/>
      <c r="F8" s="558"/>
      <c r="G8" s="558"/>
      <c r="H8" s="558"/>
    </row>
    <row r="9" spans="2:8" ht="12.75" customHeight="1">
      <c r="B9" s="558"/>
      <c r="C9" s="558"/>
      <c r="D9" s="558"/>
      <c r="E9" s="558"/>
      <c r="F9" s="558"/>
      <c r="G9" s="558"/>
      <c r="H9" s="558"/>
    </row>
    <row r="10" spans="2:8" ht="12.75" customHeight="1">
      <c r="B10" s="558"/>
      <c r="C10" s="558"/>
      <c r="D10" s="558"/>
      <c r="E10" s="558"/>
      <c r="F10" s="558"/>
      <c r="G10" s="558"/>
      <c r="H10" s="558"/>
    </row>
    <row r="11" spans="2:8" ht="12.75" customHeight="1">
      <c r="B11" s="558"/>
      <c r="C11" s="558"/>
      <c r="D11" s="558"/>
      <c r="E11" s="558"/>
      <c r="F11" s="558"/>
      <c r="G11" s="558"/>
      <c r="H11" s="558"/>
    </row>
    <row r="12" spans="2:8" ht="12.75" customHeight="1">
      <c r="B12" s="558"/>
      <c r="C12" s="558"/>
      <c r="D12" s="558"/>
      <c r="E12" s="558"/>
      <c r="F12" s="558"/>
      <c r="G12" s="558"/>
      <c r="H12" s="558"/>
    </row>
    <row r="13" spans="2:8" ht="12.75" customHeight="1">
      <c r="B13" s="558"/>
      <c r="C13" s="558"/>
      <c r="D13" s="558"/>
      <c r="E13" s="558"/>
      <c r="F13" s="558"/>
      <c r="G13" s="558"/>
      <c r="H13" s="558"/>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R47"/>
  <sheetViews>
    <sheetView view="pageBreakPreview" zoomScale="70" zoomScaleNormal="85" zoomScaleSheetLayoutView="70" zoomScalePageLayoutView="0" workbookViewId="0" topLeftCell="A1">
      <selection activeCell="T48" sqref="T48"/>
    </sheetView>
  </sheetViews>
  <sheetFormatPr defaultColWidth="9.140625" defaultRowHeight="12.75"/>
  <cols>
    <col min="1" max="1" width="8.28125" style="12" customWidth="1"/>
    <col min="2" max="2" width="17.421875" style="12" customWidth="1"/>
    <col min="3" max="3" width="14.28125" style="12" customWidth="1"/>
    <col min="4" max="5" width="13.57421875" style="12" customWidth="1"/>
    <col min="6" max="7" width="12.8515625" style="12" customWidth="1"/>
    <col min="8" max="8" width="15.28125" style="12" customWidth="1"/>
    <col min="9" max="9" width="15.421875" style="12" customWidth="1"/>
    <col min="10" max="10" width="13.28125" style="12" customWidth="1"/>
    <col min="11" max="16384" width="9.140625" style="12" customWidth="1"/>
  </cols>
  <sheetData>
    <row r="1" spans="9:10" ht="18">
      <c r="I1" s="777" t="s">
        <v>756</v>
      </c>
      <c r="J1" s="777"/>
    </row>
    <row r="2" spans="1:11" ht="18">
      <c r="A2" s="772" t="s">
        <v>0</v>
      </c>
      <c r="B2" s="772"/>
      <c r="C2" s="772"/>
      <c r="D2" s="772"/>
      <c r="E2" s="772"/>
      <c r="F2" s="772"/>
      <c r="G2" s="772"/>
      <c r="H2" s="772"/>
      <c r="I2" s="772"/>
      <c r="J2" s="772"/>
      <c r="K2" s="171"/>
    </row>
    <row r="3" spans="1:11" ht="21">
      <c r="A3" s="676" t="s">
        <v>645</v>
      </c>
      <c r="B3" s="676"/>
      <c r="C3" s="676"/>
      <c r="D3" s="676"/>
      <c r="E3" s="676"/>
      <c r="F3" s="676"/>
      <c r="G3" s="676"/>
      <c r="H3" s="676"/>
      <c r="I3" s="676"/>
      <c r="J3" s="676"/>
      <c r="K3" s="172"/>
    </row>
    <row r="4" spans="3:11" ht="21">
      <c r="C4" s="142"/>
      <c r="D4" s="142"/>
      <c r="E4" s="142"/>
      <c r="F4" s="142"/>
      <c r="G4" s="142"/>
      <c r="H4" s="142"/>
      <c r="I4" s="142"/>
      <c r="J4" s="172"/>
      <c r="K4" s="172"/>
    </row>
    <row r="5" spans="1:10" ht="20.25" customHeight="1">
      <c r="A5" s="786" t="s">
        <v>680</v>
      </c>
      <c r="B5" s="786"/>
      <c r="C5" s="786"/>
      <c r="D5" s="786"/>
      <c r="E5" s="786"/>
      <c r="F5" s="786"/>
      <c r="G5" s="786"/>
      <c r="H5" s="786"/>
      <c r="I5" s="786"/>
      <c r="J5" s="786"/>
    </row>
    <row r="6" spans="1:10" ht="20.25" customHeight="1">
      <c r="A6" s="12" t="s">
        <v>158</v>
      </c>
      <c r="C6" s="522"/>
      <c r="D6" s="522"/>
      <c r="E6" s="522"/>
      <c r="F6" s="522"/>
      <c r="G6" s="522"/>
      <c r="H6" s="683" t="s">
        <v>959</v>
      </c>
      <c r="I6" s="683"/>
      <c r="J6" s="683"/>
    </row>
    <row r="7" spans="1:10" ht="14.25">
      <c r="A7" s="773" t="s">
        <v>68</v>
      </c>
      <c r="B7" s="773" t="s">
        <v>31</v>
      </c>
      <c r="C7" s="773" t="s">
        <v>411</v>
      </c>
      <c r="D7" s="773" t="s">
        <v>390</v>
      </c>
      <c r="E7" s="774" t="s">
        <v>461</v>
      </c>
      <c r="F7" s="773" t="s">
        <v>389</v>
      </c>
      <c r="G7" s="773"/>
      <c r="H7" s="773"/>
      <c r="I7" s="773" t="s">
        <v>415</v>
      </c>
      <c r="J7" s="774" t="s">
        <v>416</v>
      </c>
    </row>
    <row r="8" spans="1:10" ht="12.75">
      <c r="A8" s="773"/>
      <c r="B8" s="773"/>
      <c r="C8" s="773"/>
      <c r="D8" s="773"/>
      <c r="E8" s="775"/>
      <c r="F8" s="773" t="s">
        <v>412</v>
      </c>
      <c r="G8" s="774" t="s">
        <v>413</v>
      </c>
      <c r="H8" s="773" t="s">
        <v>414</v>
      </c>
      <c r="I8" s="773"/>
      <c r="J8" s="775"/>
    </row>
    <row r="9" spans="1:10" ht="12.75">
      <c r="A9" s="773"/>
      <c r="B9" s="773"/>
      <c r="C9" s="773"/>
      <c r="D9" s="773"/>
      <c r="E9" s="775"/>
      <c r="F9" s="773"/>
      <c r="G9" s="775"/>
      <c r="H9" s="773"/>
      <c r="I9" s="773"/>
      <c r="J9" s="775"/>
    </row>
    <row r="10" spans="1:10" ht="63.75" customHeight="1">
      <c r="A10" s="773"/>
      <c r="B10" s="773"/>
      <c r="C10" s="773"/>
      <c r="D10" s="773"/>
      <c r="E10" s="776"/>
      <c r="F10" s="773"/>
      <c r="G10" s="776"/>
      <c r="H10" s="773"/>
      <c r="I10" s="773"/>
      <c r="J10" s="776"/>
    </row>
    <row r="11" spans="1:10" ht="15">
      <c r="A11" s="521">
        <v>1</v>
      </c>
      <c r="B11" s="521">
        <v>2</v>
      </c>
      <c r="C11" s="523">
        <v>3</v>
      </c>
      <c r="D11" s="521">
        <v>4</v>
      </c>
      <c r="E11" s="523">
        <v>5</v>
      </c>
      <c r="F11" s="521">
        <v>6</v>
      </c>
      <c r="G11" s="523">
        <v>7</v>
      </c>
      <c r="H11" s="521">
        <v>8</v>
      </c>
      <c r="I11" s="523">
        <v>9</v>
      </c>
      <c r="J11" s="521">
        <v>10</v>
      </c>
    </row>
    <row r="12" spans="1:10" ht="15">
      <c r="A12" s="521">
        <v>1</v>
      </c>
      <c r="B12" s="224" t="s">
        <v>831</v>
      </c>
      <c r="C12" s="771" t="s">
        <v>866</v>
      </c>
      <c r="D12" s="524">
        <f>'AT-3'!G11</f>
        <v>2477</v>
      </c>
      <c r="E12" s="778" t="s">
        <v>867</v>
      </c>
      <c r="F12" s="779"/>
      <c r="G12" s="779"/>
      <c r="H12" s="779"/>
      <c r="I12" s="779"/>
      <c r="J12" s="780"/>
    </row>
    <row r="13" spans="1:10" ht="15">
      <c r="A13" s="521">
        <v>2</v>
      </c>
      <c r="B13" s="224" t="s">
        <v>832</v>
      </c>
      <c r="C13" s="771"/>
      <c r="D13" s="524">
        <f>'AT-3'!G12</f>
        <v>996</v>
      </c>
      <c r="E13" s="781"/>
      <c r="F13" s="694"/>
      <c r="G13" s="694"/>
      <c r="H13" s="694"/>
      <c r="I13" s="694"/>
      <c r="J13" s="782"/>
    </row>
    <row r="14" spans="1:10" ht="15">
      <c r="A14" s="521">
        <v>3</v>
      </c>
      <c r="B14" s="224" t="s">
        <v>833</v>
      </c>
      <c r="C14" s="771"/>
      <c r="D14" s="524">
        <f>'AT-3'!G13</f>
        <v>580</v>
      </c>
      <c r="E14" s="781"/>
      <c r="F14" s="694"/>
      <c r="G14" s="694"/>
      <c r="H14" s="694"/>
      <c r="I14" s="694"/>
      <c r="J14" s="782"/>
    </row>
    <row r="15" spans="1:10" ht="15">
      <c r="A15" s="521">
        <v>4</v>
      </c>
      <c r="B15" s="224" t="s">
        <v>834</v>
      </c>
      <c r="C15" s="771"/>
      <c r="D15" s="524">
        <f>'AT-3'!G14</f>
        <v>1731</v>
      </c>
      <c r="E15" s="781"/>
      <c r="F15" s="694"/>
      <c r="G15" s="694"/>
      <c r="H15" s="694"/>
      <c r="I15" s="694"/>
      <c r="J15" s="782"/>
    </row>
    <row r="16" spans="1:10" ht="15">
      <c r="A16" s="521">
        <v>5</v>
      </c>
      <c r="B16" s="224" t="s">
        <v>835</v>
      </c>
      <c r="C16" s="771"/>
      <c r="D16" s="524">
        <f>'AT-3'!G15</f>
        <v>1078</v>
      </c>
      <c r="E16" s="781"/>
      <c r="F16" s="694"/>
      <c r="G16" s="694"/>
      <c r="H16" s="694"/>
      <c r="I16" s="694"/>
      <c r="J16" s="782"/>
    </row>
    <row r="17" spans="1:10" ht="15">
      <c r="A17" s="521">
        <v>6</v>
      </c>
      <c r="B17" s="224" t="s">
        <v>836</v>
      </c>
      <c r="C17" s="771"/>
      <c r="D17" s="524">
        <f>'AT-3'!G16</f>
        <v>1954</v>
      </c>
      <c r="E17" s="781"/>
      <c r="F17" s="694"/>
      <c r="G17" s="694"/>
      <c r="H17" s="694"/>
      <c r="I17" s="694"/>
      <c r="J17" s="782"/>
    </row>
    <row r="18" spans="1:10" ht="15">
      <c r="A18" s="521">
        <v>7</v>
      </c>
      <c r="B18" s="224" t="s">
        <v>837</v>
      </c>
      <c r="C18" s="771"/>
      <c r="D18" s="524">
        <f>'AT-3'!G17</f>
        <v>1660</v>
      </c>
      <c r="E18" s="781"/>
      <c r="F18" s="694"/>
      <c r="G18" s="694"/>
      <c r="H18" s="694"/>
      <c r="I18" s="694"/>
      <c r="J18" s="782"/>
    </row>
    <row r="19" spans="1:10" ht="15">
      <c r="A19" s="521">
        <v>8</v>
      </c>
      <c r="B19" s="224" t="s">
        <v>838</v>
      </c>
      <c r="C19" s="771"/>
      <c r="D19" s="524">
        <f>'AT-3'!G18</f>
        <v>2252</v>
      </c>
      <c r="E19" s="781"/>
      <c r="F19" s="694"/>
      <c r="G19" s="694"/>
      <c r="H19" s="694"/>
      <c r="I19" s="694"/>
      <c r="J19" s="782"/>
    </row>
    <row r="20" spans="1:10" ht="15">
      <c r="A20" s="521">
        <v>9</v>
      </c>
      <c r="B20" s="224" t="s">
        <v>839</v>
      </c>
      <c r="C20" s="771"/>
      <c r="D20" s="524">
        <f>'AT-3'!G19</f>
        <v>2574</v>
      </c>
      <c r="E20" s="781"/>
      <c r="F20" s="694"/>
      <c r="G20" s="694"/>
      <c r="H20" s="694"/>
      <c r="I20" s="694"/>
      <c r="J20" s="782"/>
    </row>
    <row r="21" spans="1:10" ht="15">
      <c r="A21" s="521">
        <v>10</v>
      </c>
      <c r="B21" s="224" t="s">
        <v>840</v>
      </c>
      <c r="C21" s="771"/>
      <c r="D21" s="524">
        <f>'AT-3'!G20</f>
        <v>1175</v>
      </c>
      <c r="E21" s="781"/>
      <c r="F21" s="694"/>
      <c r="G21" s="694"/>
      <c r="H21" s="694"/>
      <c r="I21" s="694"/>
      <c r="J21" s="782"/>
    </row>
    <row r="22" spans="1:10" ht="15">
      <c r="A22" s="521">
        <v>11</v>
      </c>
      <c r="B22" s="224" t="s">
        <v>841</v>
      </c>
      <c r="C22" s="771"/>
      <c r="D22" s="524">
        <f>'AT-3'!G21</f>
        <v>1533</v>
      </c>
      <c r="E22" s="781"/>
      <c r="F22" s="694"/>
      <c r="G22" s="694"/>
      <c r="H22" s="694"/>
      <c r="I22" s="694"/>
      <c r="J22" s="782"/>
    </row>
    <row r="23" spans="1:10" ht="15">
      <c r="A23" s="521">
        <v>12</v>
      </c>
      <c r="B23" s="224" t="s">
        <v>842</v>
      </c>
      <c r="C23" s="771"/>
      <c r="D23" s="524">
        <f>'AT-3'!G22</f>
        <v>1597</v>
      </c>
      <c r="E23" s="781"/>
      <c r="F23" s="694"/>
      <c r="G23" s="694"/>
      <c r="H23" s="694"/>
      <c r="I23" s="694"/>
      <c r="J23" s="782"/>
    </row>
    <row r="24" spans="1:10" ht="15">
      <c r="A24" s="521">
        <v>13</v>
      </c>
      <c r="B24" s="224" t="s">
        <v>843</v>
      </c>
      <c r="C24" s="771"/>
      <c r="D24" s="524">
        <f>'AT-3'!G23</f>
        <v>700</v>
      </c>
      <c r="E24" s="781"/>
      <c r="F24" s="694"/>
      <c r="G24" s="694"/>
      <c r="H24" s="694"/>
      <c r="I24" s="694"/>
      <c r="J24" s="782"/>
    </row>
    <row r="25" spans="1:10" ht="15">
      <c r="A25" s="521">
        <v>14</v>
      </c>
      <c r="B25" s="224" t="s">
        <v>844</v>
      </c>
      <c r="C25" s="771"/>
      <c r="D25" s="524">
        <f>'AT-3'!G24</f>
        <v>723</v>
      </c>
      <c r="E25" s="781"/>
      <c r="F25" s="694"/>
      <c r="G25" s="694"/>
      <c r="H25" s="694"/>
      <c r="I25" s="694"/>
      <c r="J25" s="782"/>
    </row>
    <row r="26" spans="1:10" ht="15">
      <c r="A26" s="521">
        <v>15</v>
      </c>
      <c r="B26" s="224" t="s">
        <v>845</v>
      </c>
      <c r="C26" s="771"/>
      <c r="D26" s="524">
        <f>'AT-3'!G25</f>
        <v>1794</v>
      </c>
      <c r="E26" s="781"/>
      <c r="F26" s="694"/>
      <c r="G26" s="694"/>
      <c r="H26" s="694"/>
      <c r="I26" s="694"/>
      <c r="J26" s="782"/>
    </row>
    <row r="27" spans="1:10" ht="15">
      <c r="A27" s="521">
        <v>16</v>
      </c>
      <c r="B27" s="224" t="s">
        <v>846</v>
      </c>
      <c r="C27" s="771"/>
      <c r="D27" s="524">
        <f>'AT-3'!G26</f>
        <v>3359</v>
      </c>
      <c r="E27" s="781"/>
      <c r="F27" s="694"/>
      <c r="G27" s="694"/>
      <c r="H27" s="694"/>
      <c r="I27" s="694"/>
      <c r="J27" s="782"/>
    </row>
    <row r="28" spans="1:10" ht="15">
      <c r="A28" s="521">
        <v>17</v>
      </c>
      <c r="B28" s="224" t="s">
        <v>847</v>
      </c>
      <c r="C28" s="771"/>
      <c r="D28" s="524">
        <f>'AT-3'!G27</f>
        <v>1832</v>
      </c>
      <c r="E28" s="781"/>
      <c r="F28" s="694"/>
      <c r="G28" s="694"/>
      <c r="H28" s="694"/>
      <c r="I28" s="694"/>
      <c r="J28" s="782"/>
    </row>
    <row r="29" spans="1:10" ht="15">
      <c r="A29" s="521">
        <v>18</v>
      </c>
      <c r="B29" s="224" t="s">
        <v>848</v>
      </c>
      <c r="C29" s="771"/>
      <c r="D29" s="524">
        <f>'AT-3'!G28</f>
        <v>1730</v>
      </c>
      <c r="E29" s="781"/>
      <c r="F29" s="694"/>
      <c r="G29" s="694"/>
      <c r="H29" s="694"/>
      <c r="I29" s="694"/>
      <c r="J29" s="782"/>
    </row>
    <row r="30" spans="1:10" ht="15">
      <c r="A30" s="521">
        <v>19</v>
      </c>
      <c r="B30" s="224" t="s">
        <v>849</v>
      </c>
      <c r="C30" s="771"/>
      <c r="D30" s="524">
        <f>'AT-3'!G29</f>
        <v>2497</v>
      </c>
      <c r="E30" s="781"/>
      <c r="F30" s="694"/>
      <c r="G30" s="694"/>
      <c r="H30" s="694"/>
      <c r="I30" s="694"/>
      <c r="J30" s="782"/>
    </row>
    <row r="31" spans="1:10" ht="15">
      <c r="A31" s="521">
        <v>20</v>
      </c>
      <c r="B31" s="224" t="s">
        <v>850</v>
      </c>
      <c r="C31" s="771"/>
      <c r="D31" s="524">
        <f>'AT-3'!G30</f>
        <v>1166</v>
      </c>
      <c r="E31" s="781"/>
      <c r="F31" s="694"/>
      <c r="G31" s="694"/>
      <c r="H31" s="694"/>
      <c r="I31" s="694"/>
      <c r="J31" s="782"/>
    </row>
    <row r="32" spans="1:10" ht="15">
      <c r="A32" s="521">
        <v>21</v>
      </c>
      <c r="B32" s="224" t="s">
        <v>851</v>
      </c>
      <c r="C32" s="771"/>
      <c r="D32" s="524">
        <f>'AT-3'!G31</f>
        <v>1434</v>
      </c>
      <c r="E32" s="781"/>
      <c r="F32" s="694"/>
      <c r="G32" s="694"/>
      <c r="H32" s="694"/>
      <c r="I32" s="694"/>
      <c r="J32" s="782"/>
    </row>
    <row r="33" spans="1:10" ht="15">
      <c r="A33" s="521">
        <v>22</v>
      </c>
      <c r="B33" s="224" t="s">
        <v>852</v>
      </c>
      <c r="C33" s="771"/>
      <c r="D33" s="524">
        <f>'AT-3'!G32</f>
        <v>1061</v>
      </c>
      <c r="E33" s="781"/>
      <c r="F33" s="694"/>
      <c r="G33" s="694"/>
      <c r="H33" s="694"/>
      <c r="I33" s="694"/>
      <c r="J33" s="782"/>
    </row>
    <row r="34" spans="1:10" ht="15">
      <c r="A34" s="521">
        <v>23</v>
      </c>
      <c r="B34" s="224" t="s">
        <v>853</v>
      </c>
      <c r="C34" s="771"/>
      <c r="D34" s="524">
        <f>'AT-3'!G33</f>
        <v>1727</v>
      </c>
      <c r="E34" s="781"/>
      <c r="F34" s="694"/>
      <c r="G34" s="694"/>
      <c r="H34" s="694"/>
      <c r="I34" s="694"/>
      <c r="J34" s="782"/>
    </row>
    <row r="35" spans="1:10" ht="15">
      <c r="A35" s="521">
        <v>24</v>
      </c>
      <c r="B35" s="224" t="s">
        <v>854</v>
      </c>
      <c r="C35" s="771"/>
      <c r="D35" s="524">
        <f>'AT-3'!G34</f>
        <v>2092</v>
      </c>
      <c r="E35" s="781"/>
      <c r="F35" s="694"/>
      <c r="G35" s="694"/>
      <c r="H35" s="694"/>
      <c r="I35" s="694"/>
      <c r="J35" s="782"/>
    </row>
    <row r="36" spans="1:10" ht="12.75">
      <c r="A36" s="560" t="s">
        <v>13</v>
      </c>
      <c r="B36" s="561"/>
      <c r="C36" s="771"/>
      <c r="D36" s="525">
        <f>SUM(D12:D35)</f>
        <v>39722</v>
      </c>
      <c r="E36" s="783"/>
      <c r="F36" s="784"/>
      <c r="G36" s="784"/>
      <c r="H36" s="784"/>
      <c r="I36" s="784"/>
      <c r="J36" s="785"/>
    </row>
    <row r="37" spans="1:10" ht="15.75">
      <c r="A37" s="9"/>
      <c r="B37" s="9"/>
      <c r="C37" s="526"/>
      <c r="D37" s="527"/>
      <c r="E37" s="17"/>
      <c r="F37" s="17"/>
      <c r="G37" s="17"/>
      <c r="H37" s="17"/>
      <c r="I37" s="17"/>
      <c r="J37" s="17"/>
    </row>
    <row r="38" spans="1:10" ht="15.75">
      <c r="A38" s="9"/>
      <c r="B38" s="9"/>
      <c r="C38" s="526"/>
      <c r="D38" s="527"/>
      <c r="E38" s="17"/>
      <c r="F38" s="17"/>
      <c r="G38" s="17"/>
      <c r="H38" s="17"/>
      <c r="I38" s="17"/>
      <c r="J38" s="17"/>
    </row>
    <row r="39" spans="1:10" ht="15.75">
      <c r="A39" s="9"/>
      <c r="B39" s="9"/>
      <c r="C39" s="526"/>
      <c r="D39" s="527"/>
      <c r="E39" s="17"/>
      <c r="F39" s="17"/>
      <c r="G39" s="17"/>
      <c r="H39" s="17"/>
      <c r="I39" s="17"/>
      <c r="J39" s="17"/>
    </row>
    <row r="41" spans="1:8" ht="12.75">
      <c r="A41" s="148"/>
      <c r="B41" s="148"/>
      <c r="C41" s="148"/>
      <c r="D41" s="148"/>
      <c r="E41" s="148"/>
      <c r="H41" s="149"/>
    </row>
    <row r="42" spans="1:10" ht="15" customHeight="1">
      <c r="A42" s="559" t="s">
        <v>989</v>
      </c>
      <c r="B42" s="559"/>
      <c r="C42" s="559"/>
      <c r="E42" s="559" t="s">
        <v>990</v>
      </c>
      <c r="F42" s="559"/>
      <c r="G42" s="359"/>
      <c r="H42" s="559" t="s">
        <v>996</v>
      </c>
      <c r="I42" s="559"/>
      <c r="J42" s="559"/>
    </row>
    <row r="43" spans="1:10" ht="15" customHeight="1">
      <c r="A43" s="559" t="s">
        <v>991</v>
      </c>
      <c r="B43" s="559"/>
      <c r="C43" s="559"/>
      <c r="E43" s="559" t="s">
        <v>992</v>
      </c>
      <c r="F43" s="559"/>
      <c r="G43" s="359"/>
      <c r="H43" s="559" t="s">
        <v>993</v>
      </c>
      <c r="I43" s="559"/>
      <c r="J43" s="559"/>
    </row>
    <row r="44" spans="1:17" ht="12.75">
      <c r="A44" s="559" t="s">
        <v>994</v>
      </c>
      <c r="B44" s="559"/>
      <c r="C44" s="559"/>
      <c r="E44" s="559" t="s">
        <v>995</v>
      </c>
      <c r="F44" s="559"/>
      <c r="G44" s="359"/>
      <c r="H44" s="559" t="s">
        <v>995</v>
      </c>
      <c r="I44" s="559"/>
      <c r="J44" s="559"/>
      <c r="P44" s="354"/>
      <c r="Q44" s="354"/>
    </row>
    <row r="45" spans="1:17" ht="12.75">
      <c r="A45" s="354"/>
      <c r="B45" s="354"/>
      <c r="C45" s="354"/>
      <c r="D45" s="354"/>
      <c r="E45" s="354"/>
      <c r="F45" s="354"/>
      <c r="G45" s="354"/>
      <c r="H45" s="354"/>
      <c r="I45" s="354"/>
      <c r="J45" s="354"/>
      <c r="K45" s="354"/>
      <c r="L45" s="354"/>
      <c r="M45" s="354"/>
      <c r="N45" s="354"/>
      <c r="O45" s="354"/>
      <c r="P45" s="354"/>
      <c r="Q45" s="354"/>
    </row>
    <row r="46" spans="1:17" ht="12.75">
      <c r="A46" s="354"/>
      <c r="B46" s="354"/>
      <c r="C46" s="354"/>
      <c r="D46" s="354"/>
      <c r="E46" s="354"/>
      <c r="F46" s="354"/>
      <c r="G46" s="354"/>
      <c r="H46" s="354"/>
      <c r="I46" s="354"/>
      <c r="J46" s="354"/>
      <c r="K46" s="354"/>
      <c r="L46" s="354"/>
      <c r="M46" s="354"/>
      <c r="N46" s="354"/>
      <c r="O46" s="354"/>
      <c r="P46" s="354"/>
      <c r="Q46" s="354"/>
    </row>
    <row r="47" spans="15:18" ht="12.75">
      <c r="O47" s="354"/>
      <c r="P47" s="354"/>
      <c r="Q47" s="354"/>
      <c r="R47" s="354"/>
    </row>
  </sheetData>
  <sheetProtection/>
  <mergeCells count="28">
    <mergeCell ref="F8:F10"/>
    <mergeCell ref="A43:C43"/>
    <mergeCell ref="I1:J1"/>
    <mergeCell ref="F7:H7"/>
    <mergeCell ref="J7:J10"/>
    <mergeCell ref="H6:J6"/>
    <mergeCell ref="A7:A10"/>
    <mergeCell ref="E12:J36"/>
    <mergeCell ref="A5:J5"/>
    <mergeCell ref="A3:J3"/>
    <mergeCell ref="A2:J2"/>
    <mergeCell ref="E43:F43"/>
    <mergeCell ref="H43:J43"/>
    <mergeCell ref="I7:I10"/>
    <mergeCell ref="E7:E10"/>
    <mergeCell ref="C7:C10"/>
    <mergeCell ref="B7:B10"/>
    <mergeCell ref="H8:H10"/>
    <mergeCell ref="G8:G10"/>
    <mergeCell ref="D7:D10"/>
    <mergeCell ref="A44:C44"/>
    <mergeCell ref="E44:F44"/>
    <mergeCell ref="H44:J44"/>
    <mergeCell ref="A36:B36"/>
    <mergeCell ref="C12:C36"/>
    <mergeCell ref="H42:J42"/>
    <mergeCell ref="E42:F42"/>
    <mergeCell ref="A42:C4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R47"/>
  <sheetViews>
    <sheetView view="pageBreakPreview" zoomScale="70" zoomScaleNormal="85" zoomScaleSheetLayoutView="70" zoomScalePageLayoutView="0" workbookViewId="0" topLeftCell="A1">
      <selection activeCell="T47" sqref="T47"/>
    </sheetView>
  </sheetViews>
  <sheetFormatPr defaultColWidth="9.140625" defaultRowHeight="12.75"/>
  <cols>
    <col min="1" max="1" width="6.7109375" style="12" customWidth="1"/>
    <col min="2" max="2" width="18.00390625" style="12" customWidth="1"/>
    <col min="3" max="7" width="13.00390625" style="12" customWidth="1"/>
    <col min="8" max="8" width="20.28125" style="12" customWidth="1"/>
    <col min="9" max="9" width="13.140625" style="12" customWidth="1"/>
    <col min="10" max="10" width="19.7109375" style="12" customWidth="1"/>
    <col min="11" max="16384" width="9.140625" style="12" customWidth="1"/>
  </cols>
  <sheetData>
    <row r="1" spans="9:10" ht="18">
      <c r="I1" s="171"/>
      <c r="J1" s="189" t="s">
        <v>558</v>
      </c>
    </row>
    <row r="2" spans="1:10" ht="18">
      <c r="A2" s="772" t="s">
        <v>0</v>
      </c>
      <c r="B2" s="772"/>
      <c r="C2" s="772"/>
      <c r="D2" s="772"/>
      <c r="E2" s="772"/>
      <c r="F2" s="772"/>
      <c r="G2" s="772"/>
      <c r="H2" s="772"/>
      <c r="I2" s="772"/>
      <c r="J2" s="772"/>
    </row>
    <row r="3" spans="1:10" ht="21">
      <c r="A3" s="676" t="s">
        <v>645</v>
      </c>
      <c r="B3" s="676"/>
      <c r="C3" s="676"/>
      <c r="D3" s="676"/>
      <c r="E3" s="676"/>
      <c r="F3" s="676"/>
      <c r="G3" s="676"/>
      <c r="H3" s="676"/>
      <c r="I3" s="676"/>
      <c r="J3" s="676"/>
    </row>
    <row r="4" spans="1:9" ht="15">
      <c r="A4" s="143"/>
      <c r="B4" s="143"/>
      <c r="C4" s="143"/>
      <c r="D4" s="143"/>
      <c r="E4" s="143"/>
      <c r="F4" s="143"/>
      <c r="G4" s="143"/>
      <c r="H4" s="143"/>
      <c r="I4" s="143"/>
    </row>
    <row r="5" spans="1:10" ht="18">
      <c r="A5" s="772" t="s">
        <v>557</v>
      </c>
      <c r="B5" s="772"/>
      <c r="C5" s="772"/>
      <c r="D5" s="772"/>
      <c r="E5" s="772"/>
      <c r="F5" s="772"/>
      <c r="G5" s="772"/>
      <c r="H5" s="772"/>
      <c r="I5" s="772"/>
      <c r="J5" s="772"/>
    </row>
    <row r="6" spans="1:11" ht="15">
      <c r="A6" s="144" t="s">
        <v>262</v>
      </c>
      <c r="B6" s="144"/>
      <c r="C6" s="144"/>
      <c r="D6" s="144"/>
      <c r="E6" s="144"/>
      <c r="F6" s="144"/>
      <c r="G6" s="144"/>
      <c r="H6" s="689" t="s">
        <v>959</v>
      </c>
      <c r="I6" s="689"/>
      <c r="J6" s="689"/>
      <c r="K6" s="86"/>
    </row>
    <row r="7" spans="1:10" s="366" customFormat="1" ht="18" customHeight="1">
      <c r="A7" s="787" t="s">
        <v>1</v>
      </c>
      <c r="B7" s="787" t="s">
        <v>391</v>
      </c>
      <c r="C7" s="571" t="s">
        <v>392</v>
      </c>
      <c r="D7" s="571"/>
      <c r="E7" s="571"/>
      <c r="F7" s="787" t="s">
        <v>395</v>
      </c>
      <c r="G7" s="787"/>
      <c r="H7" s="787"/>
      <c r="I7" s="787"/>
      <c r="J7" s="787" t="s">
        <v>399</v>
      </c>
    </row>
    <row r="8" spans="1:10" s="366" customFormat="1" ht="63" customHeight="1">
      <c r="A8" s="787"/>
      <c r="B8" s="787"/>
      <c r="C8" s="206" t="s">
        <v>94</v>
      </c>
      <c r="D8" s="206" t="s">
        <v>393</v>
      </c>
      <c r="E8" s="206" t="s">
        <v>394</v>
      </c>
      <c r="F8" s="260" t="s">
        <v>396</v>
      </c>
      <c r="G8" s="260" t="s">
        <v>397</v>
      </c>
      <c r="H8" s="260" t="s">
        <v>398</v>
      </c>
      <c r="I8" s="260" t="s">
        <v>41</v>
      </c>
      <c r="J8" s="787"/>
    </row>
    <row r="9" spans="1:10" ht="15">
      <c r="A9" s="265" t="s">
        <v>269</v>
      </c>
      <c r="B9" s="265" t="s">
        <v>270</v>
      </c>
      <c r="C9" s="265" t="s">
        <v>271</v>
      </c>
      <c r="D9" s="265" t="s">
        <v>272</v>
      </c>
      <c r="E9" s="265" t="s">
        <v>273</v>
      </c>
      <c r="F9" s="265" t="s">
        <v>276</v>
      </c>
      <c r="G9" s="265" t="s">
        <v>295</v>
      </c>
      <c r="H9" s="265" t="s">
        <v>296</v>
      </c>
      <c r="I9" s="265" t="s">
        <v>297</v>
      </c>
      <c r="J9" s="265" t="s">
        <v>325</v>
      </c>
    </row>
    <row r="10" spans="1:10" ht="15.75">
      <c r="A10" s="521">
        <v>1</v>
      </c>
      <c r="B10" s="224" t="s">
        <v>831</v>
      </c>
      <c r="C10" s="261" t="s">
        <v>868</v>
      </c>
      <c r="D10" s="261" t="s">
        <v>868</v>
      </c>
      <c r="E10" s="261" t="s">
        <v>868</v>
      </c>
      <c r="F10" s="262"/>
      <c r="G10" s="262" t="s">
        <v>869</v>
      </c>
      <c r="H10" s="15"/>
      <c r="I10" s="147"/>
      <c r="J10" s="147"/>
    </row>
    <row r="11" spans="1:10" ht="15.75">
      <c r="A11" s="521">
        <v>2</v>
      </c>
      <c r="B11" s="224" t="s">
        <v>832</v>
      </c>
      <c r="C11" s="263"/>
      <c r="D11" s="261" t="s">
        <v>868</v>
      </c>
      <c r="E11" s="261" t="s">
        <v>868</v>
      </c>
      <c r="F11" s="262"/>
      <c r="G11" s="262" t="s">
        <v>869</v>
      </c>
      <c r="H11" s="15"/>
      <c r="I11" s="147"/>
      <c r="J11" s="147"/>
    </row>
    <row r="12" spans="1:10" ht="15.75">
      <c r="A12" s="521">
        <v>3</v>
      </c>
      <c r="B12" s="224" t="s">
        <v>833</v>
      </c>
      <c r="C12" s="263"/>
      <c r="D12" s="261" t="s">
        <v>868</v>
      </c>
      <c r="E12" s="261" t="s">
        <v>868</v>
      </c>
      <c r="F12" s="262"/>
      <c r="G12" s="262" t="s">
        <v>869</v>
      </c>
      <c r="H12" s="15"/>
      <c r="I12" s="147"/>
      <c r="J12" s="147"/>
    </row>
    <row r="13" spans="1:10" ht="15.75">
      <c r="A13" s="521">
        <v>4</v>
      </c>
      <c r="B13" s="224" t="s">
        <v>834</v>
      </c>
      <c r="C13" s="263"/>
      <c r="D13" s="261" t="s">
        <v>868</v>
      </c>
      <c r="E13" s="261" t="s">
        <v>868</v>
      </c>
      <c r="F13" s="262"/>
      <c r="G13" s="262" t="s">
        <v>869</v>
      </c>
      <c r="H13" s="15"/>
      <c r="I13" s="147"/>
      <c r="J13" s="147"/>
    </row>
    <row r="14" spans="1:10" ht="15.75">
      <c r="A14" s="521">
        <v>5</v>
      </c>
      <c r="B14" s="224" t="s">
        <v>835</v>
      </c>
      <c r="C14" s="263"/>
      <c r="D14" s="261" t="s">
        <v>868</v>
      </c>
      <c r="E14" s="261" t="s">
        <v>868</v>
      </c>
      <c r="F14" s="262"/>
      <c r="G14" s="262" t="s">
        <v>869</v>
      </c>
      <c r="H14" s="15"/>
      <c r="I14" s="147"/>
      <c r="J14" s="147"/>
    </row>
    <row r="15" spans="1:10" ht="15.75">
      <c r="A15" s="521">
        <v>6</v>
      </c>
      <c r="B15" s="224" t="s">
        <v>836</v>
      </c>
      <c r="C15" s="263"/>
      <c r="D15" s="261" t="s">
        <v>868</v>
      </c>
      <c r="E15" s="261" t="s">
        <v>868</v>
      </c>
      <c r="F15" s="262"/>
      <c r="G15" s="262" t="s">
        <v>869</v>
      </c>
      <c r="H15" s="15"/>
      <c r="I15" s="147"/>
      <c r="J15" s="147"/>
    </row>
    <row r="16" spans="1:10" ht="15.75">
      <c r="A16" s="521">
        <v>7</v>
      </c>
      <c r="B16" s="224" t="s">
        <v>837</v>
      </c>
      <c r="C16" s="263"/>
      <c r="D16" s="261" t="s">
        <v>868</v>
      </c>
      <c r="E16" s="261" t="s">
        <v>868</v>
      </c>
      <c r="F16" s="262"/>
      <c r="G16" s="262" t="s">
        <v>869</v>
      </c>
      <c r="H16" s="15"/>
      <c r="I16" s="147"/>
      <c r="J16" s="147"/>
    </row>
    <row r="17" spans="1:10" ht="15.75">
      <c r="A17" s="521">
        <v>8</v>
      </c>
      <c r="B17" s="224" t="s">
        <v>838</v>
      </c>
      <c r="C17" s="263"/>
      <c r="D17" s="261" t="s">
        <v>868</v>
      </c>
      <c r="E17" s="261" t="s">
        <v>868</v>
      </c>
      <c r="F17" s="262"/>
      <c r="G17" s="262" t="s">
        <v>869</v>
      </c>
      <c r="H17" s="15"/>
      <c r="I17" s="147"/>
      <c r="J17" s="147"/>
    </row>
    <row r="18" spans="1:10" ht="15.75">
      <c r="A18" s="521">
        <v>9</v>
      </c>
      <c r="B18" s="224" t="s">
        <v>839</v>
      </c>
      <c r="C18" s="263"/>
      <c r="D18" s="261" t="s">
        <v>868</v>
      </c>
      <c r="E18" s="261" t="s">
        <v>868</v>
      </c>
      <c r="F18" s="262"/>
      <c r="G18" s="262" t="s">
        <v>869</v>
      </c>
      <c r="H18" s="15"/>
      <c r="I18" s="147"/>
      <c r="J18" s="147"/>
    </row>
    <row r="19" spans="1:10" ht="15.75">
      <c r="A19" s="521">
        <v>10</v>
      </c>
      <c r="B19" s="224" t="s">
        <v>840</v>
      </c>
      <c r="C19" s="263"/>
      <c r="D19" s="261" t="s">
        <v>868</v>
      </c>
      <c r="E19" s="261" t="s">
        <v>868</v>
      </c>
      <c r="F19" s="262"/>
      <c r="G19" s="262" t="s">
        <v>869</v>
      </c>
      <c r="H19" s="15"/>
      <c r="I19" s="147"/>
      <c r="J19" s="147"/>
    </row>
    <row r="20" spans="1:10" ht="15.75">
      <c r="A20" s="521">
        <v>11</v>
      </c>
      <c r="B20" s="224" t="s">
        <v>841</v>
      </c>
      <c r="C20" s="263"/>
      <c r="D20" s="261" t="s">
        <v>868</v>
      </c>
      <c r="E20" s="261" t="s">
        <v>868</v>
      </c>
      <c r="F20" s="262"/>
      <c r="G20" s="262" t="s">
        <v>869</v>
      </c>
      <c r="H20" s="15"/>
      <c r="I20" s="147"/>
      <c r="J20" s="147"/>
    </row>
    <row r="21" spans="1:10" ht="15.75">
      <c r="A21" s="521">
        <v>12</v>
      </c>
      <c r="B21" s="224" t="s">
        <v>842</v>
      </c>
      <c r="C21" s="263"/>
      <c r="D21" s="261" t="s">
        <v>868</v>
      </c>
      <c r="E21" s="261" t="s">
        <v>868</v>
      </c>
      <c r="F21" s="262"/>
      <c r="G21" s="262" t="s">
        <v>869</v>
      </c>
      <c r="H21" s="15"/>
      <c r="I21" s="147"/>
      <c r="J21" s="147"/>
    </row>
    <row r="22" spans="1:10" ht="15.75">
      <c r="A22" s="521">
        <v>13</v>
      </c>
      <c r="B22" s="224" t="s">
        <v>843</v>
      </c>
      <c r="C22" s="263"/>
      <c r="D22" s="261" t="s">
        <v>868</v>
      </c>
      <c r="E22" s="261" t="s">
        <v>868</v>
      </c>
      <c r="F22" s="262"/>
      <c r="G22" s="262" t="s">
        <v>869</v>
      </c>
      <c r="H22" s="15"/>
      <c r="I22" s="147"/>
      <c r="J22" s="147"/>
    </row>
    <row r="23" spans="1:10" ht="15.75">
      <c r="A23" s="521">
        <v>14</v>
      </c>
      <c r="B23" s="224" t="s">
        <v>844</v>
      </c>
      <c r="C23" s="263"/>
      <c r="D23" s="261" t="s">
        <v>868</v>
      </c>
      <c r="E23" s="261" t="s">
        <v>868</v>
      </c>
      <c r="F23" s="262"/>
      <c r="G23" s="262" t="s">
        <v>869</v>
      </c>
      <c r="H23" s="15"/>
      <c r="I23" s="147"/>
      <c r="J23" s="147"/>
    </row>
    <row r="24" spans="1:10" ht="15.75">
      <c r="A24" s="521">
        <v>15</v>
      </c>
      <c r="B24" s="224" t="s">
        <v>845</v>
      </c>
      <c r="C24" s="263"/>
      <c r="D24" s="261" t="s">
        <v>868</v>
      </c>
      <c r="E24" s="261" t="s">
        <v>868</v>
      </c>
      <c r="F24" s="262"/>
      <c r="G24" s="262" t="s">
        <v>869</v>
      </c>
      <c r="H24" s="15"/>
      <c r="I24" s="147"/>
      <c r="J24" s="147"/>
    </row>
    <row r="25" spans="1:10" ht="15.75">
      <c r="A25" s="521">
        <v>16</v>
      </c>
      <c r="B25" s="224" t="s">
        <v>846</v>
      </c>
      <c r="C25" s="263"/>
      <c r="D25" s="261" t="s">
        <v>868</v>
      </c>
      <c r="E25" s="261" t="s">
        <v>868</v>
      </c>
      <c r="F25" s="262"/>
      <c r="G25" s="262" t="s">
        <v>869</v>
      </c>
      <c r="H25" s="15"/>
      <c r="I25" s="15"/>
      <c r="J25" s="15"/>
    </row>
    <row r="26" spans="1:10" ht="15.75">
      <c r="A26" s="521">
        <v>17</v>
      </c>
      <c r="B26" s="224" t="s">
        <v>847</v>
      </c>
      <c r="C26" s="263"/>
      <c r="D26" s="261" t="s">
        <v>868</v>
      </c>
      <c r="E26" s="261" t="s">
        <v>868</v>
      </c>
      <c r="F26" s="262"/>
      <c r="G26" s="262" t="s">
        <v>869</v>
      </c>
      <c r="H26" s="15"/>
      <c r="I26" s="15"/>
      <c r="J26" s="15"/>
    </row>
    <row r="27" spans="1:10" ht="15.75">
      <c r="A27" s="521">
        <v>18</v>
      </c>
      <c r="B27" s="224" t="s">
        <v>848</v>
      </c>
      <c r="C27" s="263"/>
      <c r="D27" s="261" t="s">
        <v>868</v>
      </c>
      <c r="E27" s="261" t="s">
        <v>868</v>
      </c>
      <c r="F27" s="262"/>
      <c r="G27" s="262" t="s">
        <v>869</v>
      </c>
      <c r="H27" s="15"/>
      <c r="I27" s="15"/>
      <c r="J27" s="15"/>
    </row>
    <row r="28" spans="1:10" ht="15.75">
      <c r="A28" s="521">
        <v>19</v>
      </c>
      <c r="B28" s="224" t="s">
        <v>849</v>
      </c>
      <c r="C28" s="263"/>
      <c r="D28" s="261" t="s">
        <v>868</v>
      </c>
      <c r="E28" s="261" t="s">
        <v>868</v>
      </c>
      <c r="F28" s="262"/>
      <c r="G28" s="262" t="s">
        <v>869</v>
      </c>
      <c r="H28" s="15"/>
      <c r="I28" s="15"/>
      <c r="J28" s="15"/>
    </row>
    <row r="29" spans="1:13" ht="15.75">
      <c r="A29" s="521">
        <v>20</v>
      </c>
      <c r="B29" s="224" t="s">
        <v>850</v>
      </c>
      <c r="C29" s="263"/>
      <c r="D29" s="261" t="s">
        <v>868</v>
      </c>
      <c r="E29" s="261" t="s">
        <v>868</v>
      </c>
      <c r="F29" s="262"/>
      <c r="G29" s="262" t="s">
        <v>869</v>
      </c>
      <c r="H29" s="15"/>
      <c r="I29" s="15"/>
      <c r="J29" s="15"/>
      <c r="M29" s="12" t="s">
        <v>400</v>
      </c>
    </row>
    <row r="30" spans="1:10" ht="15.75">
      <c r="A30" s="521">
        <v>21</v>
      </c>
      <c r="B30" s="224" t="s">
        <v>851</v>
      </c>
      <c r="C30" s="263"/>
      <c r="D30" s="261" t="s">
        <v>868</v>
      </c>
      <c r="E30" s="261" t="s">
        <v>868</v>
      </c>
      <c r="F30" s="262"/>
      <c r="G30" s="262" t="s">
        <v>869</v>
      </c>
      <c r="H30" s="15"/>
      <c r="I30" s="15"/>
      <c r="J30" s="15"/>
    </row>
    <row r="31" spans="1:10" ht="15.75">
      <c r="A31" s="521">
        <v>22</v>
      </c>
      <c r="B31" s="224" t="s">
        <v>852</v>
      </c>
      <c r="C31" s="263"/>
      <c r="D31" s="261" t="s">
        <v>868</v>
      </c>
      <c r="E31" s="261" t="s">
        <v>868</v>
      </c>
      <c r="F31" s="262"/>
      <c r="G31" s="262" t="s">
        <v>869</v>
      </c>
      <c r="H31" s="15"/>
      <c r="I31" s="15"/>
      <c r="J31" s="15"/>
    </row>
    <row r="32" spans="1:10" ht="15.75">
      <c r="A32" s="521">
        <v>23</v>
      </c>
      <c r="B32" s="224" t="s">
        <v>853</v>
      </c>
      <c r="C32" s="263"/>
      <c r="D32" s="261" t="s">
        <v>868</v>
      </c>
      <c r="E32" s="261" t="s">
        <v>868</v>
      </c>
      <c r="F32" s="262"/>
      <c r="G32" s="262" t="s">
        <v>869</v>
      </c>
      <c r="H32" s="15"/>
      <c r="I32" s="15"/>
      <c r="J32" s="15"/>
    </row>
    <row r="33" spans="1:10" ht="15.75">
      <c r="A33" s="521">
        <v>24</v>
      </c>
      <c r="B33" s="224" t="s">
        <v>854</v>
      </c>
      <c r="C33" s="263"/>
      <c r="D33" s="261" t="s">
        <v>868</v>
      </c>
      <c r="E33" s="261" t="s">
        <v>868</v>
      </c>
      <c r="F33" s="262"/>
      <c r="G33" s="262" t="s">
        <v>869</v>
      </c>
      <c r="H33" s="15"/>
      <c r="I33" s="15"/>
      <c r="J33" s="15"/>
    </row>
    <row r="34" spans="1:10" ht="12.75">
      <c r="A34" s="572" t="s">
        <v>13</v>
      </c>
      <c r="B34" s="572"/>
      <c r="C34" s="15"/>
      <c r="D34" s="15"/>
      <c r="E34" s="15"/>
      <c r="F34" s="15"/>
      <c r="G34" s="15"/>
      <c r="H34" s="15"/>
      <c r="I34" s="15"/>
      <c r="J34" s="15"/>
    </row>
    <row r="35" spans="1:10" ht="12.75">
      <c r="A35" s="9"/>
      <c r="B35" s="9"/>
      <c r="C35" s="17"/>
      <c r="D35" s="17"/>
      <c r="E35" s="17"/>
      <c r="F35" s="17"/>
      <c r="G35" s="17"/>
      <c r="H35" s="17"/>
      <c r="I35" s="17"/>
      <c r="J35" s="17"/>
    </row>
    <row r="36" spans="1:10" ht="12.75">
      <c r="A36" s="9"/>
      <c r="B36" s="9"/>
      <c r="C36" s="17"/>
      <c r="D36" s="17"/>
      <c r="E36" s="17"/>
      <c r="F36" s="17"/>
      <c r="G36" s="17"/>
      <c r="H36" s="17"/>
      <c r="I36" s="17"/>
      <c r="J36" s="17"/>
    </row>
    <row r="38" spans="1:10" ht="12.75" customHeight="1">
      <c r="A38" s="148"/>
      <c r="B38" s="148"/>
      <c r="C38" s="148"/>
      <c r="D38" s="148"/>
      <c r="I38" s="161"/>
      <c r="J38" s="161"/>
    </row>
    <row r="39" spans="1:10" ht="12.75" customHeight="1">
      <c r="A39" s="559" t="s">
        <v>989</v>
      </c>
      <c r="B39" s="559"/>
      <c r="C39" s="559"/>
      <c r="E39" s="559" t="s">
        <v>990</v>
      </c>
      <c r="F39" s="559"/>
      <c r="G39" s="359"/>
      <c r="H39" s="559" t="s">
        <v>996</v>
      </c>
      <c r="I39" s="559"/>
      <c r="J39" s="559"/>
    </row>
    <row r="40" spans="1:10" ht="12.75" customHeight="1">
      <c r="A40" s="559" t="s">
        <v>991</v>
      </c>
      <c r="B40" s="559"/>
      <c r="C40" s="559"/>
      <c r="E40" s="559" t="s">
        <v>992</v>
      </c>
      <c r="F40" s="559"/>
      <c r="G40" s="359"/>
      <c r="H40" s="559" t="s">
        <v>993</v>
      </c>
      <c r="I40" s="559"/>
      <c r="J40" s="559"/>
    </row>
    <row r="41" spans="1:10" ht="12.75">
      <c r="A41" s="559" t="s">
        <v>994</v>
      </c>
      <c r="B41" s="559"/>
      <c r="C41" s="559"/>
      <c r="E41" s="559" t="s">
        <v>995</v>
      </c>
      <c r="F41" s="559"/>
      <c r="G41" s="359"/>
      <c r="H41" s="559" t="s">
        <v>995</v>
      </c>
      <c r="I41" s="559"/>
      <c r="J41" s="559"/>
    </row>
    <row r="44" spans="16:17" ht="12.75">
      <c r="P44" s="354"/>
      <c r="Q44" s="354"/>
    </row>
    <row r="45" spans="1:17" ht="12.75">
      <c r="A45" s="354"/>
      <c r="B45" s="354"/>
      <c r="C45" s="354"/>
      <c r="D45" s="354"/>
      <c r="E45" s="354"/>
      <c r="F45" s="354"/>
      <c r="G45" s="354"/>
      <c r="H45" s="354"/>
      <c r="I45" s="354"/>
      <c r="J45" s="354"/>
      <c r="K45" s="354"/>
      <c r="L45" s="354"/>
      <c r="M45" s="354"/>
      <c r="N45" s="354"/>
      <c r="O45" s="354"/>
      <c r="P45" s="354"/>
      <c r="Q45" s="354"/>
    </row>
    <row r="46" spans="1:17" ht="12.75">
      <c r="A46" s="354"/>
      <c r="B46" s="354"/>
      <c r="C46" s="354"/>
      <c r="D46" s="354"/>
      <c r="E46" s="354"/>
      <c r="F46" s="354"/>
      <c r="G46" s="354"/>
      <c r="H46" s="354"/>
      <c r="I46" s="354"/>
      <c r="J46" s="354"/>
      <c r="K46" s="354"/>
      <c r="L46" s="354"/>
      <c r="M46" s="354"/>
      <c r="N46" s="354"/>
      <c r="O46" s="354"/>
      <c r="P46" s="354"/>
      <c r="Q46" s="354"/>
    </row>
    <row r="47" spans="15:18" ht="12.75">
      <c r="O47" s="354"/>
      <c r="P47" s="354"/>
      <c r="Q47" s="354"/>
      <c r="R47" s="354"/>
    </row>
  </sheetData>
  <sheetProtection/>
  <mergeCells count="19">
    <mergeCell ref="A2:J2"/>
    <mergeCell ref="E40:F40"/>
    <mergeCell ref="H40:J40"/>
    <mergeCell ref="J7:J8"/>
    <mergeCell ref="H6:J6"/>
    <mergeCell ref="A3:J3"/>
    <mergeCell ref="A7:A8"/>
    <mergeCell ref="B7:B8"/>
    <mergeCell ref="C7:E7"/>
    <mergeCell ref="A5:J5"/>
    <mergeCell ref="A41:C41"/>
    <mergeCell ref="E41:F41"/>
    <mergeCell ref="H41:J41"/>
    <mergeCell ref="F7:I7"/>
    <mergeCell ref="A34:B34"/>
    <mergeCell ref="A39:C39"/>
    <mergeCell ref="E39:F39"/>
    <mergeCell ref="H39:J39"/>
    <mergeCell ref="A40:C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R44"/>
  <sheetViews>
    <sheetView view="pageBreakPreview" zoomScale="70" zoomScaleSheetLayoutView="70" zoomScalePageLayoutView="0" workbookViewId="0" topLeftCell="A1">
      <selection activeCell="T54" sqref="T54"/>
    </sheetView>
  </sheetViews>
  <sheetFormatPr defaultColWidth="9.140625" defaultRowHeight="12.75"/>
  <cols>
    <col min="1" max="1" width="5.28125" style="148" customWidth="1"/>
    <col min="2" max="2" width="8.57421875" style="148" customWidth="1"/>
    <col min="3" max="3" width="32.140625" style="148" customWidth="1"/>
    <col min="4" max="4" width="15.140625" style="148" customWidth="1"/>
    <col min="5" max="6" width="11.7109375" style="148" customWidth="1"/>
    <col min="7" max="7" width="13.7109375" style="148" customWidth="1"/>
    <col min="8" max="8" width="20.140625" style="148" customWidth="1"/>
    <col min="9" max="16384" width="9.140625" style="148" customWidth="1"/>
  </cols>
  <sheetData>
    <row r="1" spans="1:8" ht="12.75">
      <c r="A1" s="148" t="s">
        <v>9</v>
      </c>
      <c r="H1" s="162" t="s">
        <v>560</v>
      </c>
    </row>
    <row r="2" spans="1:8" s="152" customFormat="1" ht="15.75">
      <c r="A2" s="793" t="s">
        <v>0</v>
      </c>
      <c r="B2" s="793"/>
      <c r="C2" s="793"/>
      <c r="D2" s="793"/>
      <c r="E2" s="793"/>
      <c r="F2" s="793"/>
      <c r="G2" s="793"/>
      <c r="H2" s="793"/>
    </row>
    <row r="3" spans="1:8" s="152" customFormat="1" ht="20.25" customHeight="1">
      <c r="A3" s="794" t="s">
        <v>645</v>
      </c>
      <c r="B3" s="794"/>
      <c r="C3" s="794"/>
      <c r="D3" s="794"/>
      <c r="E3" s="794"/>
      <c r="F3" s="794"/>
      <c r="G3" s="794"/>
      <c r="H3" s="794"/>
    </row>
    <row r="5" spans="1:8" s="152" customFormat="1" ht="15.75">
      <c r="A5" s="795" t="s">
        <v>559</v>
      </c>
      <c r="B5" s="795"/>
      <c r="C5" s="795"/>
      <c r="D5" s="795"/>
      <c r="E5" s="795"/>
      <c r="F5" s="795"/>
      <c r="G5" s="795"/>
      <c r="H5" s="796"/>
    </row>
    <row r="7" spans="1:7" ht="12.75">
      <c r="A7" s="797" t="s">
        <v>157</v>
      </c>
      <c r="B7" s="797"/>
      <c r="C7" s="154"/>
      <c r="D7" s="155"/>
      <c r="E7" s="155"/>
      <c r="F7" s="155"/>
      <c r="G7" s="155"/>
    </row>
    <row r="9" spans="1:7" ht="13.5" customHeight="1">
      <c r="A9" s="163"/>
      <c r="B9" s="163"/>
      <c r="C9" s="163"/>
      <c r="D9" s="163"/>
      <c r="E9" s="163"/>
      <c r="F9" s="163"/>
      <c r="G9" s="163"/>
    </row>
    <row r="10" spans="1:8" s="156" customFormat="1" ht="12.75">
      <c r="A10" s="148"/>
      <c r="B10" s="148"/>
      <c r="C10" s="148"/>
      <c r="D10" s="148"/>
      <c r="E10" s="148"/>
      <c r="F10" s="148"/>
      <c r="G10" s="148"/>
      <c r="H10" s="97"/>
    </row>
    <row r="11" spans="1:8" s="156" customFormat="1" ht="39.75" customHeight="1">
      <c r="A11" s="157"/>
      <c r="B11" s="788" t="s">
        <v>289</v>
      </c>
      <c r="C11" s="788" t="s">
        <v>290</v>
      </c>
      <c r="D11" s="798" t="s">
        <v>291</v>
      </c>
      <c r="E11" s="799"/>
      <c r="F11" s="799"/>
      <c r="G11" s="800"/>
      <c r="H11" s="788" t="s">
        <v>72</v>
      </c>
    </row>
    <row r="12" spans="1:8" s="156" customFormat="1" ht="25.5">
      <c r="A12" s="158"/>
      <c r="B12" s="789"/>
      <c r="C12" s="789"/>
      <c r="D12" s="164" t="s">
        <v>292</v>
      </c>
      <c r="E12" s="164" t="s">
        <v>293</v>
      </c>
      <c r="F12" s="164" t="s">
        <v>294</v>
      </c>
      <c r="G12" s="164" t="s">
        <v>13</v>
      </c>
      <c r="H12" s="789"/>
    </row>
    <row r="13" spans="1:8" s="156" customFormat="1" ht="15">
      <c r="A13" s="158"/>
      <c r="B13" s="165" t="s">
        <v>269</v>
      </c>
      <c r="C13" s="165" t="s">
        <v>270</v>
      </c>
      <c r="D13" s="165" t="s">
        <v>271</v>
      </c>
      <c r="E13" s="165" t="s">
        <v>272</v>
      </c>
      <c r="F13" s="165" t="s">
        <v>273</v>
      </c>
      <c r="G13" s="165" t="s">
        <v>274</v>
      </c>
      <c r="H13" s="165" t="s">
        <v>275</v>
      </c>
    </row>
    <row r="14" spans="2:8" s="166" customFormat="1" ht="15" customHeight="1">
      <c r="B14" s="167" t="s">
        <v>23</v>
      </c>
      <c r="C14" s="790" t="s">
        <v>298</v>
      </c>
      <c r="D14" s="791"/>
      <c r="E14" s="791"/>
      <c r="F14" s="791"/>
      <c r="G14" s="791"/>
      <c r="H14" s="792"/>
    </row>
    <row r="15" spans="2:8" s="169" customFormat="1" ht="12.75">
      <c r="B15" s="167">
        <v>1</v>
      </c>
      <c r="C15" s="168" t="s">
        <v>870</v>
      </c>
      <c r="D15" s="167">
        <v>2</v>
      </c>
      <c r="E15" s="264">
        <v>48</v>
      </c>
      <c r="F15" s="264">
        <v>259</v>
      </c>
      <c r="G15" s="167">
        <f>SUM(D15:F15)</f>
        <v>309</v>
      </c>
      <c r="H15" s="168"/>
    </row>
    <row r="16" spans="1:8" ht="14.25">
      <c r="A16" s="160"/>
      <c r="B16" s="122">
        <v>2</v>
      </c>
      <c r="C16" s="170"/>
      <c r="D16" s="109"/>
      <c r="E16" s="109"/>
      <c r="F16" s="109"/>
      <c r="G16" s="109"/>
      <c r="H16" s="109"/>
    </row>
    <row r="17" spans="2:8" ht="12.75">
      <c r="B17" s="122">
        <v>3</v>
      </c>
      <c r="C17" s="170"/>
      <c r="D17" s="159"/>
      <c r="E17" s="110"/>
      <c r="F17" s="110"/>
      <c r="G17" s="110"/>
      <c r="H17" s="109"/>
    </row>
    <row r="18" spans="2:8" s="106" customFormat="1" ht="12.75">
      <c r="B18" s="122">
        <v>4</v>
      </c>
      <c r="C18" s="170"/>
      <c r="D18" s="109"/>
      <c r="E18" s="109"/>
      <c r="F18" s="109"/>
      <c r="G18" s="109"/>
      <c r="H18" s="108"/>
    </row>
    <row r="19" spans="2:8" s="106" customFormat="1" ht="12.75">
      <c r="B19" s="109"/>
      <c r="C19" s="170"/>
      <c r="D19" s="109"/>
      <c r="E19" s="109"/>
      <c r="F19" s="109"/>
      <c r="G19" s="109"/>
      <c r="H19" s="108"/>
    </row>
    <row r="20" spans="2:8" s="106" customFormat="1" ht="12.75">
      <c r="B20" s="109"/>
      <c r="C20" s="170"/>
      <c r="D20" s="109"/>
      <c r="E20" s="109"/>
      <c r="F20" s="109"/>
      <c r="G20" s="109"/>
      <c r="H20" s="108"/>
    </row>
    <row r="21" spans="2:8" s="106" customFormat="1" ht="21.75" customHeight="1">
      <c r="B21" s="167" t="s">
        <v>27</v>
      </c>
      <c r="C21" s="790" t="s">
        <v>469</v>
      </c>
      <c r="D21" s="791"/>
      <c r="E21" s="791"/>
      <c r="F21" s="791"/>
      <c r="G21" s="791"/>
      <c r="H21" s="792"/>
    </row>
    <row r="22" spans="1:8" s="106" customFormat="1" ht="12.75">
      <c r="A22" s="161" t="s">
        <v>288</v>
      </c>
      <c r="B22" s="167">
        <v>1</v>
      </c>
      <c r="C22" s="168" t="s">
        <v>871</v>
      </c>
      <c r="D22" s="107">
        <v>5</v>
      </c>
      <c r="E22" s="107">
        <v>24</v>
      </c>
      <c r="F22" s="107">
        <v>235</v>
      </c>
      <c r="G22" s="107">
        <f>SUM(D22:F22)</f>
        <v>264</v>
      </c>
      <c r="H22" s="108"/>
    </row>
    <row r="23" spans="2:8" ht="12.75">
      <c r="B23" s="122">
        <v>2</v>
      </c>
      <c r="C23" s="170"/>
      <c r="D23" s="109"/>
      <c r="E23" s="109"/>
      <c r="F23" s="109"/>
      <c r="G23" s="109"/>
      <c r="H23" s="109"/>
    </row>
    <row r="24" spans="2:8" ht="12.75">
      <c r="B24" s="122">
        <v>3</v>
      </c>
      <c r="C24" s="170"/>
      <c r="D24" s="109"/>
      <c r="E24" s="109"/>
      <c r="F24" s="109"/>
      <c r="G24" s="109"/>
      <c r="H24" s="109"/>
    </row>
    <row r="25" spans="2:8" ht="12.75">
      <c r="B25" s="122">
        <v>4</v>
      </c>
      <c r="C25" s="170"/>
      <c r="D25" s="109"/>
      <c r="E25" s="109"/>
      <c r="F25" s="109"/>
      <c r="G25" s="109"/>
      <c r="H25" s="109"/>
    </row>
    <row r="26" spans="2:8" ht="12.75">
      <c r="B26" s="109"/>
      <c r="C26" s="170"/>
      <c r="D26" s="109"/>
      <c r="E26" s="109"/>
      <c r="F26" s="109"/>
      <c r="G26" s="109"/>
      <c r="H26" s="109"/>
    </row>
    <row r="27" spans="2:8" ht="12.75">
      <c r="B27" s="109"/>
      <c r="C27" s="109"/>
      <c r="D27" s="109"/>
      <c r="E27" s="109"/>
      <c r="F27" s="109"/>
      <c r="G27" s="109"/>
      <c r="H27" s="109"/>
    </row>
    <row r="28" spans="4:7" ht="12.75" customHeight="1">
      <c r="D28" s="356"/>
      <c r="E28" s="356"/>
      <c r="F28" s="356"/>
      <c r="G28" s="356"/>
    </row>
    <row r="29" spans="1:8" ht="12.75" customHeight="1">
      <c r="A29" s="559" t="s">
        <v>989</v>
      </c>
      <c r="B29" s="559"/>
      <c r="C29" s="559"/>
      <c r="D29" s="559" t="s">
        <v>990</v>
      </c>
      <c r="E29" s="559"/>
      <c r="F29" s="359"/>
      <c r="G29" s="559" t="s">
        <v>996</v>
      </c>
      <c r="H29" s="559"/>
    </row>
    <row r="30" spans="1:8" ht="12.75" customHeight="1">
      <c r="A30" s="559" t="s">
        <v>991</v>
      </c>
      <c r="B30" s="559"/>
      <c r="C30" s="559"/>
      <c r="D30" s="559" t="s">
        <v>992</v>
      </c>
      <c r="E30" s="559"/>
      <c r="F30" s="359"/>
      <c r="G30" s="559" t="s">
        <v>993</v>
      </c>
      <c r="H30" s="559"/>
    </row>
    <row r="31" spans="1:8" ht="12.75" customHeight="1">
      <c r="A31" s="559" t="s">
        <v>994</v>
      </c>
      <c r="B31" s="559"/>
      <c r="C31" s="559"/>
      <c r="D31" s="559" t="s">
        <v>995</v>
      </c>
      <c r="E31" s="559"/>
      <c r="F31" s="359"/>
      <c r="G31" s="559" t="s">
        <v>995</v>
      </c>
      <c r="H31" s="559"/>
    </row>
    <row r="41" spans="16:17" ht="12.75">
      <c r="P41" s="153"/>
      <c r="Q41" s="153"/>
    </row>
    <row r="42" spans="1:17" ht="12.75">
      <c r="A42" s="153"/>
      <c r="B42" s="153"/>
      <c r="C42" s="153"/>
      <c r="D42" s="153"/>
      <c r="E42" s="153"/>
      <c r="F42" s="153"/>
      <c r="G42" s="153"/>
      <c r="H42" s="153"/>
      <c r="I42" s="153"/>
      <c r="J42" s="153"/>
      <c r="K42" s="153"/>
      <c r="L42" s="153"/>
      <c r="M42" s="153"/>
      <c r="N42" s="153"/>
      <c r="O42" s="153"/>
      <c r="P42" s="153"/>
      <c r="Q42" s="153"/>
    </row>
    <row r="43" spans="1:17" ht="12.75">
      <c r="A43" s="153"/>
      <c r="B43" s="153"/>
      <c r="C43" s="153"/>
      <c r="D43" s="153"/>
      <c r="E43" s="153"/>
      <c r="F43" s="153"/>
      <c r="G43" s="153"/>
      <c r="H43" s="153"/>
      <c r="I43" s="153"/>
      <c r="J43" s="153"/>
      <c r="K43" s="153"/>
      <c r="L43" s="153"/>
      <c r="M43" s="153"/>
      <c r="N43" s="153"/>
      <c r="O43" s="153"/>
      <c r="P43" s="153"/>
      <c r="Q43" s="153"/>
    </row>
    <row r="44" spans="15:18" ht="12.75">
      <c r="O44" s="153"/>
      <c r="P44" s="153"/>
      <c r="Q44" s="153"/>
      <c r="R44" s="153"/>
    </row>
  </sheetData>
  <sheetProtection/>
  <mergeCells count="19">
    <mergeCell ref="D30:E30"/>
    <mergeCell ref="G30:H30"/>
    <mergeCell ref="A2:H2"/>
    <mergeCell ref="A3:H3"/>
    <mergeCell ref="A5:H5"/>
    <mergeCell ref="A7:B7"/>
    <mergeCell ref="B11:B12"/>
    <mergeCell ref="C11:C12"/>
    <mergeCell ref="D11:G11"/>
    <mergeCell ref="D31:E31"/>
    <mergeCell ref="G31:H31"/>
    <mergeCell ref="A29:C29"/>
    <mergeCell ref="A30:C30"/>
    <mergeCell ref="A31:C31"/>
    <mergeCell ref="H11:H12"/>
    <mergeCell ref="C14:H14"/>
    <mergeCell ref="C21:H21"/>
    <mergeCell ref="D29:E29"/>
    <mergeCell ref="G29:H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R45"/>
  <sheetViews>
    <sheetView view="pageBreakPreview" zoomScale="70" zoomScaleSheetLayoutView="70" zoomScalePageLayoutView="0" workbookViewId="0" topLeftCell="A1">
      <selection activeCell="R49" sqref="R49"/>
    </sheetView>
  </sheetViews>
  <sheetFormatPr defaultColWidth="9.140625" defaultRowHeight="12.75"/>
  <cols>
    <col min="1" max="1" width="7.00390625" style="12" customWidth="1"/>
    <col min="2" max="2" width="15.57421875" style="12" customWidth="1"/>
    <col min="3" max="3" width="17.28125" style="12" customWidth="1"/>
    <col min="4" max="4" width="21.00390625" style="12" customWidth="1"/>
    <col min="5" max="5" width="21.140625" style="12" customWidth="1"/>
    <col min="6" max="6" width="20.7109375" style="12" customWidth="1"/>
    <col min="7" max="7" width="23.57421875" style="12" customWidth="1"/>
    <col min="8" max="16384" width="9.140625" style="12" customWidth="1"/>
  </cols>
  <sheetData>
    <row r="1" ht="15">
      <c r="G1" s="518" t="s">
        <v>701</v>
      </c>
    </row>
    <row r="2" spans="1:7" ht="18">
      <c r="A2" s="772" t="s">
        <v>0</v>
      </c>
      <c r="B2" s="772"/>
      <c r="C2" s="772"/>
      <c r="D2" s="772"/>
      <c r="E2" s="772"/>
      <c r="F2" s="772"/>
      <c r="G2" s="772"/>
    </row>
    <row r="3" spans="1:7" ht="21">
      <c r="A3" s="676" t="s">
        <v>645</v>
      </c>
      <c r="B3" s="676"/>
      <c r="C3" s="676"/>
      <c r="D3" s="676"/>
      <c r="E3" s="676"/>
      <c r="F3" s="676"/>
      <c r="G3" s="676"/>
    </row>
    <row r="4" spans="1:2" ht="15">
      <c r="A4" s="143"/>
      <c r="B4" s="143"/>
    </row>
    <row r="5" spans="1:7" ht="18" customHeight="1">
      <c r="A5" s="677" t="s">
        <v>702</v>
      </c>
      <c r="B5" s="677"/>
      <c r="C5" s="677"/>
      <c r="D5" s="677"/>
      <c r="E5" s="677"/>
      <c r="F5" s="677"/>
      <c r="G5" s="677"/>
    </row>
    <row r="6" spans="1:2" ht="15">
      <c r="A6" s="144" t="s">
        <v>262</v>
      </c>
      <c r="B6" s="144"/>
    </row>
    <row r="7" spans="1:8" ht="15">
      <c r="A7" s="144"/>
      <c r="B7" s="144"/>
      <c r="F7" s="683" t="s">
        <v>959</v>
      </c>
      <c r="G7" s="683"/>
      <c r="H7" s="683"/>
    </row>
    <row r="8" spans="1:7" ht="59.25" customHeight="1">
      <c r="A8" s="145" t="s">
        <v>1</v>
      </c>
      <c r="B8" s="193" t="s">
        <v>2</v>
      </c>
      <c r="C8" s="194" t="s">
        <v>703</v>
      </c>
      <c r="D8" s="194" t="s">
        <v>704</v>
      </c>
      <c r="E8" s="194" t="s">
        <v>705</v>
      </c>
      <c r="F8" s="194" t="s">
        <v>706</v>
      </c>
      <c r="G8" s="194" t="s">
        <v>707</v>
      </c>
    </row>
    <row r="9" spans="1:7" s="518" customFormat="1" ht="15">
      <c r="A9" s="265" t="s">
        <v>269</v>
      </c>
      <c r="B9" s="265" t="s">
        <v>270</v>
      </c>
      <c r="C9" s="265" t="s">
        <v>271</v>
      </c>
      <c r="D9" s="265" t="s">
        <v>272</v>
      </c>
      <c r="E9" s="265" t="s">
        <v>273</v>
      </c>
      <c r="F9" s="265" t="s">
        <v>274</v>
      </c>
      <c r="G9" s="265" t="s">
        <v>275</v>
      </c>
    </row>
    <row r="10" spans="1:7" s="518" customFormat="1" ht="15">
      <c r="A10" s="265">
        <v>1</v>
      </c>
      <c r="B10" s="224" t="s">
        <v>831</v>
      </c>
      <c r="C10" s="508">
        <f>'AT-3'!G11</f>
        <v>2477</v>
      </c>
      <c r="D10" s="508">
        <v>2412</v>
      </c>
      <c r="E10" s="508">
        <v>12</v>
      </c>
      <c r="F10" s="508">
        <v>1</v>
      </c>
      <c r="G10" s="508">
        <v>1838</v>
      </c>
    </row>
    <row r="11" spans="1:7" s="518" customFormat="1" ht="15">
      <c r="A11" s="265">
        <v>2</v>
      </c>
      <c r="B11" s="224" t="s">
        <v>832</v>
      </c>
      <c r="C11" s="508">
        <f>'AT-3'!G12</f>
        <v>996</v>
      </c>
      <c r="D11" s="508">
        <v>263</v>
      </c>
      <c r="E11" s="508">
        <v>70</v>
      </c>
      <c r="F11" s="508">
        <v>0</v>
      </c>
      <c r="G11" s="508">
        <v>263</v>
      </c>
    </row>
    <row r="12" spans="1:7" s="518" customFormat="1" ht="15">
      <c r="A12" s="265">
        <v>3</v>
      </c>
      <c r="B12" s="224" t="s">
        <v>833</v>
      </c>
      <c r="C12" s="508">
        <f>'AT-3'!G13</f>
        <v>580</v>
      </c>
      <c r="D12" s="508">
        <v>0</v>
      </c>
      <c r="E12" s="508">
        <v>0</v>
      </c>
      <c r="F12" s="508">
        <v>0</v>
      </c>
      <c r="G12" s="508">
        <v>70</v>
      </c>
    </row>
    <row r="13" spans="1:7" s="518" customFormat="1" ht="15">
      <c r="A13" s="265">
        <v>4</v>
      </c>
      <c r="B13" s="224" t="s">
        <v>834</v>
      </c>
      <c r="C13" s="508">
        <f>'AT-3'!G14</f>
        <v>1731</v>
      </c>
      <c r="D13" s="508">
        <v>248</v>
      </c>
      <c r="E13" s="508">
        <v>37</v>
      </c>
      <c r="F13" s="508">
        <v>0</v>
      </c>
      <c r="G13" s="508">
        <v>211</v>
      </c>
    </row>
    <row r="14" spans="1:7" s="518" customFormat="1" ht="15">
      <c r="A14" s="265">
        <v>5</v>
      </c>
      <c r="B14" s="224" t="s">
        <v>835</v>
      </c>
      <c r="C14" s="508">
        <f>'AT-3'!G15</f>
        <v>1078</v>
      </c>
      <c r="D14" s="508">
        <v>24</v>
      </c>
      <c r="E14" s="508">
        <v>8</v>
      </c>
      <c r="F14" s="508">
        <v>11</v>
      </c>
      <c r="G14" s="508">
        <v>17</v>
      </c>
    </row>
    <row r="15" spans="1:7" s="518" customFormat="1" ht="15">
      <c r="A15" s="265">
        <v>6</v>
      </c>
      <c r="B15" s="224" t="s">
        <v>836</v>
      </c>
      <c r="C15" s="508">
        <f>'AT-3'!G16</f>
        <v>1954</v>
      </c>
      <c r="D15" s="508">
        <v>1118</v>
      </c>
      <c r="E15" s="508">
        <v>325</v>
      </c>
      <c r="F15" s="508">
        <v>69</v>
      </c>
      <c r="G15" s="508">
        <v>724</v>
      </c>
    </row>
    <row r="16" spans="1:7" s="518" customFormat="1" ht="15">
      <c r="A16" s="265">
        <v>7</v>
      </c>
      <c r="B16" s="224" t="s">
        <v>837</v>
      </c>
      <c r="C16" s="508">
        <f>'AT-3'!G17</f>
        <v>1660</v>
      </c>
      <c r="D16" s="508">
        <v>242</v>
      </c>
      <c r="E16" s="508">
        <v>11</v>
      </c>
      <c r="F16" s="508">
        <v>19</v>
      </c>
      <c r="G16" s="508">
        <v>298</v>
      </c>
    </row>
    <row r="17" spans="1:7" s="518" customFormat="1" ht="15">
      <c r="A17" s="265">
        <v>8</v>
      </c>
      <c r="B17" s="224" t="s">
        <v>838</v>
      </c>
      <c r="C17" s="508">
        <f>'AT-3'!G18</f>
        <v>2252</v>
      </c>
      <c r="D17" s="508">
        <v>300</v>
      </c>
      <c r="E17" s="508">
        <v>48</v>
      </c>
      <c r="F17" s="508">
        <v>68</v>
      </c>
      <c r="G17" s="508">
        <v>300</v>
      </c>
    </row>
    <row r="18" spans="1:7" s="518" customFormat="1" ht="15">
      <c r="A18" s="265">
        <v>9</v>
      </c>
      <c r="B18" s="224" t="s">
        <v>839</v>
      </c>
      <c r="C18" s="508">
        <f>'AT-3'!G19</f>
        <v>2574</v>
      </c>
      <c r="D18" s="508">
        <v>174</v>
      </c>
      <c r="E18" s="508">
        <v>0</v>
      </c>
      <c r="F18" s="508">
        <v>119</v>
      </c>
      <c r="G18" s="508">
        <v>55</v>
      </c>
    </row>
    <row r="19" spans="1:7" s="518" customFormat="1" ht="15">
      <c r="A19" s="265">
        <v>10</v>
      </c>
      <c r="B19" s="224" t="s">
        <v>840</v>
      </c>
      <c r="C19" s="508">
        <f>'AT-3'!G20</f>
        <v>1175</v>
      </c>
      <c r="D19" s="508">
        <v>0</v>
      </c>
      <c r="E19" s="508">
        <v>0</v>
      </c>
      <c r="F19" s="508">
        <v>0</v>
      </c>
      <c r="G19" s="508">
        <v>6</v>
      </c>
    </row>
    <row r="20" spans="1:7" s="518" customFormat="1" ht="15">
      <c r="A20" s="265">
        <v>11</v>
      </c>
      <c r="B20" s="224" t="s">
        <v>841</v>
      </c>
      <c r="C20" s="508">
        <f>'AT-3'!G21</f>
        <v>1533</v>
      </c>
      <c r="D20" s="508">
        <v>108</v>
      </c>
      <c r="E20" s="508">
        <v>0</v>
      </c>
      <c r="F20" s="508">
        <v>0</v>
      </c>
      <c r="G20" s="508">
        <v>108</v>
      </c>
    </row>
    <row r="21" spans="1:7" s="518" customFormat="1" ht="15">
      <c r="A21" s="265">
        <v>12</v>
      </c>
      <c r="B21" s="224" t="s">
        <v>842</v>
      </c>
      <c r="C21" s="508">
        <f>'AT-3'!G22</f>
        <v>1597</v>
      </c>
      <c r="D21" s="508">
        <v>393</v>
      </c>
      <c r="E21" s="508">
        <v>7</v>
      </c>
      <c r="F21" s="508">
        <v>24</v>
      </c>
      <c r="G21" s="508">
        <v>258</v>
      </c>
    </row>
    <row r="22" spans="1:7" s="518" customFormat="1" ht="15">
      <c r="A22" s="265">
        <v>13</v>
      </c>
      <c r="B22" s="224" t="s">
        <v>843</v>
      </c>
      <c r="C22" s="508">
        <f>'AT-3'!G23</f>
        <v>700</v>
      </c>
      <c r="D22" s="508">
        <v>0</v>
      </c>
      <c r="E22" s="508">
        <v>0</v>
      </c>
      <c r="F22" s="508">
        <v>0</v>
      </c>
      <c r="G22" s="508">
        <v>0</v>
      </c>
    </row>
    <row r="23" spans="1:7" s="518" customFormat="1" ht="15">
      <c r="A23" s="265">
        <v>14</v>
      </c>
      <c r="B23" s="224" t="s">
        <v>844</v>
      </c>
      <c r="C23" s="508">
        <f>'AT-3'!G24</f>
        <v>723</v>
      </c>
      <c r="D23" s="508">
        <v>197</v>
      </c>
      <c r="E23" s="508">
        <v>0</v>
      </c>
      <c r="F23" s="508">
        <v>0</v>
      </c>
      <c r="G23" s="508">
        <v>197</v>
      </c>
    </row>
    <row r="24" spans="1:7" ht="15">
      <c r="A24" s="265">
        <v>15</v>
      </c>
      <c r="B24" s="224" t="s">
        <v>845</v>
      </c>
      <c r="C24" s="508">
        <f>'AT-3'!G25</f>
        <v>1794</v>
      </c>
      <c r="D24" s="508">
        <v>20</v>
      </c>
      <c r="E24" s="508">
        <v>0</v>
      </c>
      <c r="F24" s="508">
        <v>0</v>
      </c>
      <c r="G24" s="508">
        <v>20</v>
      </c>
    </row>
    <row r="25" spans="1:7" ht="15">
      <c r="A25" s="265">
        <v>16</v>
      </c>
      <c r="B25" s="224" t="s">
        <v>846</v>
      </c>
      <c r="C25" s="508">
        <f>'AT-3'!G26</f>
        <v>3359</v>
      </c>
      <c r="D25" s="508">
        <v>189</v>
      </c>
      <c r="E25" s="508">
        <v>1</v>
      </c>
      <c r="F25" s="508">
        <v>0</v>
      </c>
      <c r="G25" s="508">
        <v>188</v>
      </c>
    </row>
    <row r="26" spans="1:7" ht="15">
      <c r="A26" s="265">
        <v>17</v>
      </c>
      <c r="B26" s="224" t="s">
        <v>847</v>
      </c>
      <c r="C26" s="508">
        <f>'AT-3'!G27</f>
        <v>1832</v>
      </c>
      <c r="D26" s="508">
        <v>0</v>
      </c>
      <c r="E26" s="508">
        <v>0</v>
      </c>
      <c r="F26" s="508">
        <v>0</v>
      </c>
      <c r="G26" s="508">
        <v>30</v>
      </c>
    </row>
    <row r="27" spans="1:7" ht="15">
      <c r="A27" s="265">
        <v>18</v>
      </c>
      <c r="B27" s="224" t="s">
        <v>848</v>
      </c>
      <c r="C27" s="508">
        <f>'AT-3'!G28</f>
        <v>1730</v>
      </c>
      <c r="D27" s="508">
        <v>278</v>
      </c>
      <c r="E27" s="508">
        <v>0</v>
      </c>
      <c r="F27" s="508">
        <v>0</v>
      </c>
      <c r="G27" s="508">
        <v>132</v>
      </c>
    </row>
    <row r="28" spans="1:7" ht="15">
      <c r="A28" s="265">
        <v>19</v>
      </c>
      <c r="B28" s="224" t="s">
        <v>849</v>
      </c>
      <c r="C28" s="508">
        <f>'AT-3'!G29</f>
        <v>2497</v>
      </c>
      <c r="D28" s="508">
        <v>140</v>
      </c>
      <c r="E28" s="508">
        <v>1</v>
      </c>
      <c r="F28" s="508">
        <v>0</v>
      </c>
      <c r="G28" s="508">
        <v>139</v>
      </c>
    </row>
    <row r="29" spans="1:7" ht="15">
      <c r="A29" s="265">
        <v>20</v>
      </c>
      <c r="B29" s="224" t="s">
        <v>850</v>
      </c>
      <c r="C29" s="508">
        <f>'AT-3'!G30</f>
        <v>1166</v>
      </c>
      <c r="D29" s="508">
        <v>18</v>
      </c>
      <c r="E29" s="508">
        <v>0</v>
      </c>
      <c r="F29" s="508">
        <v>0</v>
      </c>
      <c r="G29" s="508">
        <v>18</v>
      </c>
    </row>
    <row r="30" spans="1:7" ht="15">
      <c r="A30" s="265">
        <v>21</v>
      </c>
      <c r="B30" s="224" t="s">
        <v>851</v>
      </c>
      <c r="C30" s="508">
        <f>'AT-3'!G31</f>
        <v>1434</v>
      </c>
      <c r="D30" s="508">
        <v>225</v>
      </c>
      <c r="E30" s="508">
        <v>0</v>
      </c>
      <c r="F30" s="508">
        <v>0</v>
      </c>
      <c r="G30" s="508">
        <v>225</v>
      </c>
    </row>
    <row r="31" spans="1:7" ht="15">
      <c r="A31" s="265">
        <v>22</v>
      </c>
      <c r="B31" s="224" t="s">
        <v>852</v>
      </c>
      <c r="C31" s="508">
        <f>'AT-3'!G32</f>
        <v>1061</v>
      </c>
      <c r="D31" s="508">
        <v>21</v>
      </c>
      <c r="E31" s="508">
        <v>0</v>
      </c>
      <c r="F31" s="508">
        <v>0</v>
      </c>
      <c r="G31" s="508">
        <v>53</v>
      </c>
    </row>
    <row r="32" spans="1:7" ht="15">
      <c r="A32" s="265">
        <v>23</v>
      </c>
      <c r="B32" s="224" t="s">
        <v>853</v>
      </c>
      <c r="C32" s="508">
        <f>'AT-3'!G33</f>
        <v>1727</v>
      </c>
      <c r="D32" s="508">
        <v>73</v>
      </c>
      <c r="E32" s="508">
        <v>0</v>
      </c>
      <c r="F32" s="508">
        <v>0</v>
      </c>
      <c r="G32" s="508">
        <v>73</v>
      </c>
    </row>
    <row r="33" spans="1:8" ht="15">
      <c r="A33" s="265">
        <v>24</v>
      </c>
      <c r="B33" s="224" t="s">
        <v>854</v>
      </c>
      <c r="C33" s="508">
        <f>'AT-3'!G34</f>
        <v>2092</v>
      </c>
      <c r="D33" s="508">
        <v>123</v>
      </c>
      <c r="E33" s="508">
        <v>0</v>
      </c>
      <c r="F33" s="508">
        <v>123</v>
      </c>
      <c r="G33" s="508">
        <v>123</v>
      </c>
      <c r="H33" s="12" t="s">
        <v>9</v>
      </c>
    </row>
    <row r="34" spans="1:7" s="11" customFormat="1" ht="12.75">
      <c r="A34" s="560" t="s">
        <v>860</v>
      </c>
      <c r="B34" s="561"/>
      <c r="C34" s="266">
        <f>SUM(C10:C33)</f>
        <v>39722</v>
      </c>
      <c r="D34" s="266">
        <f>SUM(D10:D33)</f>
        <v>6566</v>
      </c>
      <c r="E34" s="266">
        <f>SUM(E10:E33)</f>
        <v>520</v>
      </c>
      <c r="F34" s="266">
        <f>SUM(F10:F33)</f>
        <v>434</v>
      </c>
      <c r="G34" s="266">
        <f>SUM(G10:G33)</f>
        <v>5346</v>
      </c>
    </row>
    <row r="36" ht="12.75">
      <c r="A36" s="520"/>
    </row>
    <row r="39" spans="1:9" ht="15" customHeight="1">
      <c r="A39" s="195"/>
      <c r="B39" s="195"/>
      <c r="C39" s="195"/>
      <c r="D39" s="195"/>
      <c r="E39" s="195"/>
      <c r="F39" s="325"/>
      <c r="G39" s="325"/>
      <c r="H39" s="196"/>
      <c r="I39" s="196"/>
    </row>
    <row r="40" spans="1:9" ht="15" customHeight="1">
      <c r="A40" s="559" t="s">
        <v>989</v>
      </c>
      <c r="B40" s="559"/>
      <c r="C40" s="359"/>
      <c r="D40" s="559" t="s">
        <v>990</v>
      </c>
      <c r="E40" s="559"/>
      <c r="F40" s="559" t="s">
        <v>996</v>
      </c>
      <c r="G40" s="559"/>
      <c r="H40" s="359"/>
      <c r="I40" s="196"/>
    </row>
    <row r="41" spans="1:9" ht="15" customHeight="1">
      <c r="A41" s="559" t="s">
        <v>991</v>
      </c>
      <c r="B41" s="559"/>
      <c r="C41" s="359"/>
      <c r="D41" s="559" t="s">
        <v>992</v>
      </c>
      <c r="E41" s="559"/>
      <c r="F41" s="559" t="s">
        <v>993</v>
      </c>
      <c r="G41" s="559" t="s">
        <v>993</v>
      </c>
      <c r="H41" s="359"/>
      <c r="I41" s="196"/>
    </row>
    <row r="42" spans="1:17" ht="12.75">
      <c r="A42" s="559" t="s">
        <v>994</v>
      </c>
      <c r="B42" s="559"/>
      <c r="C42" s="359"/>
      <c r="D42" s="559" t="s">
        <v>995</v>
      </c>
      <c r="E42" s="559"/>
      <c r="F42" s="559" t="s">
        <v>995</v>
      </c>
      <c r="G42" s="559" t="s">
        <v>995</v>
      </c>
      <c r="H42" s="359"/>
      <c r="I42" s="195"/>
      <c r="P42" s="354"/>
      <c r="Q42" s="354"/>
    </row>
    <row r="43" spans="1:17" ht="12.75">
      <c r="A43" s="197"/>
      <c r="B43" s="197"/>
      <c r="C43" s="197"/>
      <c r="D43" s="197"/>
      <c r="E43" s="197"/>
      <c r="F43" s="197"/>
      <c r="G43" s="197"/>
      <c r="H43" s="197"/>
      <c r="I43" s="197"/>
      <c r="J43" s="197"/>
      <c r="K43" s="197"/>
      <c r="L43" s="197"/>
      <c r="M43" s="197"/>
      <c r="N43" s="354"/>
      <c r="O43" s="354"/>
      <c r="P43" s="354"/>
      <c r="Q43" s="354"/>
    </row>
    <row r="44" spans="1:17" ht="12.75">
      <c r="A44" s="354"/>
      <c r="B44" s="354"/>
      <c r="C44" s="354"/>
      <c r="D44" s="354"/>
      <c r="E44" s="354"/>
      <c r="F44" s="354"/>
      <c r="G44" s="354"/>
      <c r="H44" s="354"/>
      <c r="I44" s="354"/>
      <c r="J44" s="354"/>
      <c r="K44" s="354"/>
      <c r="L44" s="354"/>
      <c r="M44" s="354"/>
      <c r="N44" s="354"/>
      <c r="O44" s="354"/>
      <c r="P44" s="354"/>
      <c r="Q44" s="354"/>
    </row>
    <row r="45" spans="15:18" ht="12.75">
      <c r="O45" s="354"/>
      <c r="P45" s="354"/>
      <c r="Q45" s="354"/>
      <c r="R45" s="354"/>
    </row>
  </sheetData>
  <sheetProtection/>
  <mergeCells count="14">
    <mergeCell ref="A5:G5"/>
    <mergeCell ref="A34:B34"/>
    <mergeCell ref="F7:H7"/>
    <mergeCell ref="A40:B40"/>
    <mergeCell ref="D40:E40"/>
    <mergeCell ref="A2:G2"/>
    <mergeCell ref="A3:G3"/>
    <mergeCell ref="A41:B41"/>
    <mergeCell ref="D41:E41"/>
    <mergeCell ref="A42:B42"/>
    <mergeCell ref="D42:E42"/>
    <mergeCell ref="F40:G40"/>
    <mergeCell ref="F41:G41"/>
    <mergeCell ref="F42:G4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R44"/>
  <sheetViews>
    <sheetView view="pageBreakPreview" zoomScale="70" zoomScaleSheetLayoutView="70" zoomScalePageLayoutView="0" workbookViewId="0" topLeftCell="A1">
      <selection activeCell="X55" sqref="X55"/>
    </sheetView>
  </sheetViews>
  <sheetFormatPr defaultColWidth="9.140625" defaultRowHeight="12.75"/>
  <cols>
    <col min="1" max="1" width="6.57421875" style="12" customWidth="1"/>
    <col min="2" max="2" width="14.7109375" style="12" customWidth="1"/>
    <col min="3" max="3" width="8.7109375" style="12" customWidth="1"/>
    <col min="4" max="4" width="12.7109375" style="12" customWidth="1"/>
    <col min="5" max="5" width="10.57421875" style="12" customWidth="1"/>
    <col min="6" max="6" width="12.421875" style="12" customWidth="1"/>
    <col min="7" max="7" width="7.57421875" style="12" customWidth="1"/>
    <col min="8" max="8" width="7.8515625" style="12" customWidth="1"/>
    <col min="9" max="9" width="10.00390625" style="12" customWidth="1"/>
    <col min="10" max="11" width="9.140625" style="12" customWidth="1"/>
    <col min="12" max="12" width="10.8515625" style="12" customWidth="1"/>
    <col min="13" max="16384" width="9.140625" style="12" customWidth="1"/>
  </cols>
  <sheetData>
    <row r="1" spans="1:15" ht="18">
      <c r="A1" s="772" t="s">
        <v>0</v>
      </c>
      <c r="B1" s="772"/>
      <c r="C1" s="772"/>
      <c r="D1" s="772"/>
      <c r="E1" s="772"/>
      <c r="F1" s="772"/>
      <c r="G1" s="772"/>
      <c r="H1" s="772"/>
      <c r="I1" s="772"/>
      <c r="J1" s="772"/>
      <c r="K1" s="772"/>
      <c r="L1" s="772"/>
      <c r="M1" s="772"/>
      <c r="N1" s="807" t="s">
        <v>957</v>
      </c>
      <c r="O1" s="807"/>
    </row>
    <row r="2" spans="1:14" ht="21">
      <c r="A2" s="676" t="s">
        <v>645</v>
      </c>
      <c r="B2" s="676"/>
      <c r="C2" s="676"/>
      <c r="D2" s="676"/>
      <c r="E2" s="676"/>
      <c r="F2" s="676"/>
      <c r="G2" s="676"/>
      <c r="H2" s="676"/>
      <c r="I2" s="676"/>
      <c r="J2" s="676"/>
      <c r="K2" s="676"/>
      <c r="L2" s="676"/>
      <c r="M2" s="676"/>
      <c r="N2" s="676"/>
    </row>
    <row r="3" spans="1:2" ht="15">
      <c r="A3" s="143"/>
      <c r="B3" s="143"/>
    </row>
    <row r="4" spans="1:14" ht="18" customHeight="1">
      <c r="A4" s="677" t="s">
        <v>958</v>
      </c>
      <c r="B4" s="677"/>
      <c r="C4" s="677"/>
      <c r="D4" s="677"/>
      <c r="E4" s="677"/>
      <c r="F4" s="677"/>
      <c r="G4" s="677"/>
      <c r="H4" s="677"/>
      <c r="I4" s="677"/>
      <c r="J4" s="677"/>
      <c r="K4" s="677"/>
      <c r="L4" s="677"/>
      <c r="M4" s="677"/>
      <c r="N4" s="677"/>
    </row>
    <row r="5" spans="1:2" ht="15">
      <c r="A5" s="144" t="s">
        <v>262</v>
      </c>
      <c r="B5" s="144"/>
    </row>
    <row r="6" spans="1:15" ht="15">
      <c r="A6" s="144"/>
      <c r="B6" s="144"/>
      <c r="M6" s="683" t="s">
        <v>959</v>
      </c>
      <c r="N6" s="683"/>
      <c r="O6" s="683"/>
    </row>
    <row r="7" spans="1:15" ht="38.25" customHeight="1">
      <c r="A7" s="808" t="s">
        <v>1</v>
      </c>
      <c r="B7" s="808" t="s">
        <v>2</v>
      </c>
      <c r="C7" s="804" t="s">
        <v>960</v>
      </c>
      <c r="D7" s="801" t="s">
        <v>961</v>
      </c>
      <c r="E7" s="801" t="s">
        <v>962</v>
      </c>
      <c r="F7" s="801" t="s">
        <v>963</v>
      </c>
      <c r="G7" s="801" t="s">
        <v>964</v>
      </c>
      <c r="H7" s="801"/>
      <c r="I7" s="801"/>
      <c r="J7" s="801"/>
      <c r="K7" s="801"/>
      <c r="L7" s="801" t="s">
        <v>965</v>
      </c>
      <c r="M7" s="801" t="s">
        <v>966</v>
      </c>
      <c r="N7" s="801"/>
      <c r="O7" s="801"/>
    </row>
    <row r="8" spans="1:15" s="518" customFormat="1" ht="15.75" customHeight="1">
      <c r="A8" s="808"/>
      <c r="B8" s="808"/>
      <c r="C8" s="805"/>
      <c r="D8" s="801"/>
      <c r="E8" s="801"/>
      <c r="F8" s="801"/>
      <c r="G8" s="801" t="s">
        <v>967</v>
      </c>
      <c r="H8" s="801"/>
      <c r="I8" s="801" t="s">
        <v>968</v>
      </c>
      <c r="J8" s="801" t="s">
        <v>969</v>
      </c>
      <c r="K8" s="801" t="s">
        <v>970</v>
      </c>
      <c r="L8" s="801"/>
      <c r="M8" s="801" t="s">
        <v>86</v>
      </c>
      <c r="N8" s="801" t="s">
        <v>971</v>
      </c>
      <c r="O8" s="801" t="s">
        <v>972</v>
      </c>
    </row>
    <row r="9" spans="1:15" ht="12.75" customHeight="1">
      <c r="A9" s="808"/>
      <c r="B9" s="808"/>
      <c r="C9" s="806"/>
      <c r="D9" s="801"/>
      <c r="E9" s="801"/>
      <c r="F9" s="801"/>
      <c r="G9" s="499" t="s">
        <v>973</v>
      </c>
      <c r="H9" s="499" t="s">
        <v>974</v>
      </c>
      <c r="I9" s="801"/>
      <c r="J9" s="801"/>
      <c r="K9" s="801"/>
      <c r="L9" s="801"/>
      <c r="M9" s="801"/>
      <c r="N9" s="801"/>
      <c r="O9" s="801"/>
    </row>
    <row r="10" spans="1:15" ht="12.75" customHeight="1">
      <c r="A10" s="348">
        <v>1</v>
      </c>
      <c r="B10" s="519" t="s">
        <v>831</v>
      </c>
      <c r="C10" s="343">
        <f>'AT-3'!F11</f>
        <v>2486</v>
      </c>
      <c r="D10" s="343">
        <v>2486</v>
      </c>
      <c r="E10" s="343">
        <v>2486</v>
      </c>
      <c r="F10" s="343">
        <v>8</v>
      </c>
      <c r="G10" s="343">
        <v>0</v>
      </c>
      <c r="H10" s="343">
        <v>0</v>
      </c>
      <c r="I10" s="343">
        <v>0</v>
      </c>
      <c r="J10" s="343">
        <v>8</v>
      </c>
      <c r="K10" s="343">
        <v>0</v>
      </c>
      <c r="L10" s="343">
        <v>0</v>
      </c>
      <c r="M10" s="343">
        <v>0</v>
      </c>
      <c r="N10" s="343">
        <v>0</v>
      </c>
      <c r="O10" s="343">
        <v>8</v>
      </c>
    </row>
    <row r="11" spans="1:15" ht="12.75" customHeight="1">
      <c r="A11" s="348">
        <v>2</v>
      </c>
      <c r="B11" s="519" t="s">
        <v>832</v>
      </c>
      <c r="C11" s="343">
        <f>'AT-3'!F12</f>
        <v>996</v>
      </c>
      <c r="D11" s="343">
        <v>996</v>
      </c>
      <c r="E11" s="343">
        <v>996</v>
      </c>
      <c r="F11" s="343">
        <v>0</v>
      </c>
      <c r="G11" s="343">
        <v>0</v>
      </c>
      <c r="H11" s="343">
        <v>0</v>
      </c>
      <c r="I11" s="343">
        <v>0</v>
      </c>
      <c r="J11" s="343">
        <v>0</v>
      </c>
      <c r="K11" s="343">
        <v>0</v>
      </c>
      <c r="L11" s="343">
        <v>0</v>
      </c>
      <c r="M11" s="343">
        <v>0</v>
      </c>
      <c r="N11" s="343">
        <v>0</v>
      </c>
      <c r="O11" s="343">
        <v>0</v>
      </c>
    </row>
    <row r="12" spans="1:15" ht="12.75" customHeight="1">
      <c r="A12" s="348">
        <v>3</v>
      </c>
      <c r="B12" s="519" t="s">
        <v>833</v>
      </c>
      <c r="C12" s="343">
        <f>'AT-3'!F13</f>
        <v>580</v>
      </c>
      <c r="D12" s="343">
        <v>580</v>
      </c>
      <c r="E12" s="343">
        <v>580</v>
      </c>
      <c r="F12" s="343">
        <v>7</v>
      </c>
      <c r="G12" s="343">
        <v>0</v>
      </c>
      <c r="H12" s="343">
        <v>0</v>
      </c>
      <c r="I12" s="343">
        <v>0</v>
      </c>
      <c r="J12" s="343">
        <v>7</v>
      </c>
      <c r="K12" s="343">
        <v>0</v>
      </c>
      <c r="L12" s="343">
        <v>0</v>
      </c>
      <c r="M12" s="343">
        <v>0</v>
      </c>
      <c r="N12" s="343">
        <v>0</v>
      </c>
      <c r="O12" s="343">
        <v>7</v>
      </c>
    </row>
    <row r="13" spans="1:15" ht="12.75" customHeight="1">
      <c r="A13" s="348">
        <v>4</v>
      </c>
      <c r="B13" s="519" t="s">
        <v>834</v>
      </c>
      <c r="C13" s="343">
        <f>'AT-3'!F14</f>
        <v>1731</v>
      </c>
      <c r="D13" s="343">
        <v>1731</v>
      </c>
      <c r="E13" s="343">
        <v>1731</v>
      </c>
      <c r="F13" s="343">
        <v>0</v>
      </c>
      <c r="G13" s="343">
        <v>0</v>
      </c>
      <c r="H13" s="343">
        <v>0</v>
      </c>
      <c r="I13" s="343">
        <v>0</v>
      </c>
      <c r="J13" s="343">
        <v>0</v>
      </c>
      <c r="K13" s="343">
        <v>0</v>
      </c>
      <c r="L13" s="343">
        <v>0</v>
      </c>
      <c r="M13" s="343">
        <v>0</v>
      </c>
      <c r="N13" s="343">
        <v>0</v>
      </c>
      <c r="O13" s="343">
        <v>0</v>
      </c>
    </row>
    <row r="14" spans="1:15" ht="12.75" customHeight="1">
      <c r="A14" s="348">
        <v>5</v>
      </c>
      <c r="B14" s="519" t="s">
        <v>835</v>
      </c>
      <c r="C14" s="343">
        <f>'AT-3'!F15</f>
        <v>1078</v>
      </c>
      <c r="D14" s="343">
        <v>1078</v>
      </c>
      <c r="E14" s="343">
        <v>1078</v>
      </c>
      <c r="F14" s="343">
        <v>0</v>
      </c>
      <c r="G14" s="343">
        <v>0</v>
      </c>
      <c r="H14" s="343">
        <v>0</v>
      </c>
      <c r="I14" s="343">
        <v>0</v>
      </c>
      <c r="J14" s="343">
        <v>0</v>
      </c>
      <c r="K14" s="343">
        <v>0</v>
      </c>
      <c r="L14" s="343">
        <v>0</v>
      </c>
      <c r="M14" s="343">
        <v>0</v>
      </c>
      <c r="N14" s="343">
        <v>0</v>
      </c>
      <c r="O14" s="343">
        <v>0</v>
      </c>
    </row>
    <row r="15" spans="1:15" ht="12.75" customHeight="1">
      <c r="A15" s="348">
        <v>6</v>
      </c>
      <c r="B15" s="519" t="s">
        <v>836</v>
      </c>
      <c r="C15" s="343">
        <f>'AT-3'!F16</f>
        <v>1954</v>
      </c>
      <c r="D15" s="343">
        <v>1954</v>
      </c>
      <c r="E15" s="343">
        <v>1954</v>
      </c>
      <c r="F15" s="343">
        <v>1</v>
      </c>
      <c r="G15" s="343">
        <v>0</v>
      </c>
      <c r="H15" s="343">
        <v>0</v>
      </c>
      <c r="I15" s="343">
        <v>0</v>
      </c>
      <c r="J15" s="343">
        <v>1</v>
      </c>
      <c r="K15" s="343">
        <v>0</v>
      </c>
      <c r="L15" s="343">
        <v>0</v>
      </c>
      <c r="M15" s="343">
        <v>0</v>
      </c>
      <c r="N15" s="343">
        <v>0</v>
      </c>
      <c r="O15" s="343">
        <v>1</v>
      </c>
    </row>
    <row r="16" spans="1:15" ht="12.75" customHeight="1">
      <c r="A16" s="348">
        <v>7</v>
      </c>
      <c r="B16" s="519" t="s">
        <v>837</v>
      </c>
      <c r="C16" s="343">
        <f>'AT-3'!F17</f>
        <v>1660</v>
      </c>
      <c r="D16" s="343">
        <v>1598</v>
      </c>
      <c r="E16" s="343">
        <v>1598</v>
      </c>
      <c r="F16" s="343">
        <v>1</v>
      </c>
      <c r="G16" s="343">
        <v>0</v>
      </c>
      <c r="H16" s="343">
        <v>0</v>
      </c>
      <c r="I16" s="343">
        <v>0</v>
      </c>
      <c r="J16" s="343">
        <v>1</v>
      </c>
      <c r="K16" s="343">
        <v>0</v>
      </c>
      <c r="L16" s="343">
        <v>0</v>
      </c>
      <c r="M16" s="343">
        <v>0</v>
      </c>
      <c r="N16" s="343">
        <v>1</v>
      </c>
      <c r="O16" s="343">
        <v>0</v>
      </c>
    </row>
    <row r="17" spans="1:15" ht="12.75" customHeight="1">
      <c r="A17" s="348">
        <v>8</v>
      </c>
      <c r="B17" s="519" t="s">
        <v>838</v>
      </c>
      <c r="C17" s="343">
        <f>'AT-3'!F18</f>
        <v>2252</v>
      </c>
      <c r="D17" s="344">
        <v>2252</v>
      </c>
      <c r="E17" s="344">
        <v>2252</v>
      </c>
      <c r="F17" s="344">
        <v>1</v>
      </c>
      <c r="G17" s="344">
        <v>1</v>
      </c>
      <c r="H17" s="344">
        <v>0</v>
      </c>
      <c r="I17" s="344">
        <v>0</v>
      </c>
      <c r="J17" s="344">
        <v>0</v>
      </c>
      <c r="K17" s="344">
        <v>0</v>
      </c>
      <c r="L17" s="344">
        <v>0</v>
      </c>
      <c r="M17" s="344">
        <v>0</v>
      </c>
      <c r="N17" s="344">
        <v>1</v>
      </c>
      <c r="O17" s="343">
        <v>0</v>
      </c>
    </row>
    <row r="18" spans="1:15" ht="12.75" customHeight="1">
      <c r="A18" s="348">
        <v>9</v>
      </c>
      <c r="B18" s="519" t="s">
        <v>839</v>
      </c>
      <c r="C18" s="343">
        <f>'AT-3'!F19</f>
        <v>2574</v>
      </c>
      <c r="D18" s="343">
        <v>2574</v>
      </c>
      <c r="E18" s="343">
        <v>2574</v>
      </c>
      <c r="F18" s="343">
        <v>0</v>
      </c>
      <c r="G18" s="343">
        <v>0</v>
      </c>
      <c r="H18" s="343">
        <v>0</v>
      </c>
      <c r="I18" s="343">
        <v>0</v>
      </c>
      <c r="J18" s="343">
        <v>0</v>
      </c>
      <c r="K18" s="343">
        <v>0</v>
      </c>
      <c r="L18" s="343">
        <v>0</v>
      </c>
      <c r="M18" s="343">
        <v>0</v>
      </c>
      <c r="N18" s="343">
        <v>0</v>
      </c>
      <c r="O18" s="343">
        <v>0</v>
      </c>
    </row>
    <row r="19" spans="1:15" ht="12.75" customHeight="1">
      <c r="A19" s="348">
        <v>10</v>
      </c>
      <c r="B19" s="519" t="s">
        <v>840</v>
      </c>
      <c r="C19" s="343">
        <f>'AT-3'!F20</f>
        <v>1175</v>
      </c>
      <c r="D19" s="343">
        <v>1175</v>
      </c>
      <c r="E19" s="343">
        <v>1175</v>
      </c>
      <c r="F19" s="343">
        <v>54</v>
      </c>
      <c r="G19" s="343">
        <v>4</v>
      </c>
      <c r="H19" s="343">
        <v>0</v>
      </c>
      <c r="I19" s="343">
        <v>0</v>
      </c>
      <c r="J19" s="343">
        <v>50</v>
      </c>
      <c r="K19" s="343">
        <v>0</v>
      </c>
      <c r="L19" s="343">
        <v>0</v>
      </c>
      <c r="M19" s="343">
        <v>4</v>
      </c>
      <c r="N19" s="343">
        <v>50</v>
      </c>
      <c r="O19" s="343">
        <v>0</v>
      </c>
    </row>
    <row r="20" spans="1:15" ht="12.75" customHeight="1">
      <c r="A20" s="348">
        <v>11</v>
      </c>
      <c r="B20" s="519" t="s">
        <v>841</v>
      </c>
      <c r="C20" s="343">
        <f>'AT-3'!F21</f>
        <v>1533</v>
      </c>
      <c r="D20" s="343">
        <v>1533</v>
      </c>
      <c r="E20" s="343">
        <v>1533</v>
      </c>
      <c r="F20" s="343">
        <v>0</v>
      </c>
      <c r="G20" s="343">
        <v>0</v>
      </c>
      <c r="H20" s="343">
        <v>0</v>
      </c>
      <c r="I20" s="343">
        <v>0</v>
      </c>
      <c r="J20" s="343">
        <v>0</v>
      </c>
      <c r="K20" s="343">
        <v>0</v>
      </c>
      <c r="L20" s="343">
        <v>0</v>
      </c>
      <c r="M20" s="343">
        <v>0</v>
      </c>
      <c r="N20" s="343">
        <v>0</v>
      </c>
      <c r="O20" s="343">
        <v>0</v>
      </c>
    </row>
    <row r="21" spans="1:15" ht="12.75" customHeight="1">
      <c r="A21" s="348">
        <v>12</v>
      </c>
      <c r="B21" s="519" t="s">
        <v>842</v>
      </c>
      <c r="C21" s="343">
        <f>'AT-3'!F22</f>
        <v>1599</v>
      </c>
      <c r="D21" s="343">
        <v>1597</v>
      </c>
      <c r="E21" s="343">
        <v>1597</v>
      </c>
      <c r="F21" s="343">
        <v>0</v>
      </c>
      <c r="G21" s="343">
        <v>0</v>
      </c>
      <c r="H21" s="343">
        <v>0</v>
      </c>
      <c r="I21" s="343">
        <v>0</v>
      </c>
      <c r="J21" s="343">
        <v>0</v>
      </c>
      <c r="K21" s="343">
        <v>0</v>
      </c>
      <c r="L21" s="343">
        <v>0</v>
      </c>
      <c r="M21" s="343">
        <v>0</v>
      </c>
      <c r="N21" s="343">
        <v>0</v>
      </c>
      <c r="O21" s="343">
        <v>0</v>
      </c>
    </row>
    <row r="22" spans="1:15" ht="12.75" customHeight="1">
      <c r="A22" s="348">
        <v>13</v>
      </c>
      <c r="B22" s="519" t="s">
        <v>843</v>
      </c>
      <c r="C22" s="343">
        <f>'AT-3'!F23</f>
        <v>700</v>
      </c>
      <c r="D22" s="343">
        <v>696</v>
      </c>
      <c r="E22" s="343">
        <v>696</v>
      </c>
      <c r="F22" s="343">
        <v>26</v>
      </c>
      <c r="G22" s="343">
        <v>0</v>
      </c>
      <c r="H22" s="343">
        <v>0</v>
      </c>
      <c r="I22" s="343">
        <v>0</v>
      </c>
      <c r="J22" s="343">
        <v>26</v>
      </c>
      <c r="K22" s="343">
        <v>0</v>
      </c>
      <c r="L22" s="343">
        <v>0</v>
      </c>
      <c r="M22" s="343">
        <v>0</v>
      </c>
      <c r="N22" s="343">
        <v>26</v>
      </c>
      <c r="O22" s="343">
        <v>0</v>
      </c>
    </row>
    <row r="23" spans="1:15" ht="12.75" customHeight="1">
      <c r="A23" s="348">
        <v>14</v>
      </c>
      <c r="B23" s="519" t="s">
        <v>844</v>
      </c>
      <c r="C23" s="343">
        <f>'AT-3'!F24</f>
        <v>723</v>
      </c>
      <c r="D23" s="343">
        <v>723</v>
      </c>
      <c r="E23" s="343">
        <v>723</v>
      </c>
      <c r="F23" s="343">
        <v>62</v>
      </c>
      <c r="G23" s="343">
        <v>0</v>
      </c>
      <c r="H23" s="343">
        <v>0</v>
      </c>
      <c r="I23" s="343">
        <v>0</v>
      </c>
      <c r="J23" s="343">
        <v>62</v>
      </c>
      <c r="K23" s="343">
        <v>0</v>
      </c>
      <c r="L23" s="343">
        <v>0</v>
      </c>
      <c r="M23" s="343">
        <v>0</v>
      </c>
      <c r="N23" s="343">
        <v>0</v>
      </c>
      <c r="O23" s="343">
        <v>62</v>
      </c>
    </row>
    <row r="24" spans="1:15" ht="15">
      <c r="A24" s="348">
        <v>15</v>
      </c>
      <c r="B24" s="519" t="s">
        <v>845</v>
      </c>
      <c r="C24" s="343">
        <f>'AT-3'!F25</f>
        <v>1794</v>
      </c>
      <c r="D24" s="333">
        <v>1794</v>
      </c>
      <c r="E24" s="333">
        <v>1794</v>
      </c>
      <c r="F24" s="334">
        <v>50</v>
      </c>
      <c r="G24" s="334">
        <v>0</v>
      </c>
      <c r="H24" s="334">
        <v>0</v>
      </c>
      <c r="I24" s="334">
        <v>0</v>
      </c>
      <c r="J24" s="334">
        <v>50</v>
      </c>
      <c r="K24" s="334">
        <v>0</v>
      </c>
      <c r="L24" s="334">
        <v>0</v>
      </c>
      <c r="M24" s="334">
        <v>0</v>
      </c>
      <c r="N24" s="334">
        <v>0</v>
      </c>
      <c r="O24" s="334">
        <v>50</v>
      </c>
    </row>
    <row r="25" spans="1:15" ht="15">
      <c r="A25" s="348">
        <v>16</v>
      </c>
      <c r="B25" s="519" t="s">
        <v>846</v>
      </c>
      <c r="C25" s="343">
        <f>'AT-3'!F26</f>
        <v>3362</v>
      </c>
      <c r="D25" s="333">
        <v>3208</v>
      </c>
      <c r="E25" s="333">
        <v>3208</v>
      </c>
      <c r="F25" s="333">
        <v>32</v>
      </c>
      <c r="G25" s="334">
        <v>5</v>
      </c>
      <c r="H25" s="334">
        <v>23</v>
      </c>
      <c r="I25" s="334">
        <v>0</v>
      </c>
      <c r="J25" s="334">
        <v>4</v>
      </c>
      <c r="K25" s="334">
        <v>0</v>
      </c>
      <c r="L25" s="334">
        <v>0</v>
      </c>
      <c r="M25" s="334">
        <v>0</v>
      </c>
      <c r="N25" s="334">
        <v>0</v>
      </c>
      <c r="O25" s="334">
        <v>32</v>
      </c>
    </row>
    <row r="26" spans="1:15" ht="15">
      <c r="A26" s="348">
        <v>17</v>
      </c>
      <c r="B26" s="519" t="s">
        <v>847</v>
      </c>
      <c r="C26" s="343">
        <f>'AT-3'!F27</f>
        <v>1832</v>
      </c>
      <c r="D26" s="333">
        <v>1832</v>
      </c>
      <c r="E26" s="333">
        <v>1832</v>
      </c>
      <c r="F26" s="333">
        <v>4</v>
      </c>
      <c r="G26" s="334">
        <v>4</v>
      </c>
      <c r="H26" s="334">
        <v>0</v>
      </c>
      <c r="I26" s="334">
        <v>0</v>
      </c>
      <c r="J26" s="334">
        <v>0</v>
      </c>
      <c r="K26" s="334">
        <v>0</v>
      </c>
      <c r="L26" s="334">
        <v>0</v>
      </c>
      <c r="M26" s="334">
        <v>0</v>
      </c>
      <c r="N26" s="334">
        <v>1</v>
      </c>
      <c r="O26" s="334">
        <v>3</v>
      </c>
    </row>
    <row r="27" spans="1:15" ht="15">
      <c r="A27" s="348">
        <v>18</v>
      </c>
      <c r="B27" s="519" t="s">
        <v>848</v>
      </c>
      <c r="C27" s="343">
        <f>'AT-3'!F28</f>
        <v>1730</v>
      </c>
      <c r="D27" s="333">
        <v>1730</v>
      </c>
      <c r="E27" s="333">
        <v>1730</v>
      </c>
      <c r="F27" s="333">
        <v>23</v>
      </c>
      <c r="G27" s="334">
        <v>3</v>
      </c>
      <c r="H27" s="334">
        <v>0</v>
      </c>
      <c r="I27" s="334">
        <v>0</v>
      </c>
      <c r="J27" s="334">
        <v>20</v>
      </c>
      <c r="K27" s="334">
        <v>0</v>
      </c>
      <c r="L27" s="334">
        <v>0</v>
      </c>
      <c r="M27" s="334">
        <v>0</v>
      </c>
      <c r="N27" s="334">
        <v>0</v>
      </c>
      <c r="O27" s="334">
        <v>23</v>
      </c>
    </row>
    <row r="28" spans="1:15" ht="15">
      <c r="A28" s="348">
        <v>19</v>
      </c>
      <c r="B28" s="519" t="s">
        <v>849</v>
      </c>
      <c r="C28" s="343">
        <f>'AT-3'!F29</f>
        <v>2497</v>
      </c>
      <c r="D28" s="333">
        <v>2497</v>
      </c>
      <c r="E28" s="333">
        <v>2497</v>
      </c>
      <c r="F28" s="333">
        <v>0</v>
      </c>
      <c r="G28" s="333">
        <v>0</v>
      </c>
      <c r="H28" s="333">
        <v>0</v>
      </c>
      <c r="I28" s="333">
        <v>0</v>
      </c>
      <c r="J28" s="333">
        <v>0</v>
      </c>
      <c r="K28" s="333">
        <v>0</v>
      </c>
      <c r="L28" s="333">
        <v>0</v>
      </c>
      <c r="M28" s="333">
        <v>0</v>
      </c>
      <c r="N28" s="333">
        <v>0</v>
      </c>
      <c r="O28" s="333">
        <v>0</v>
      </c>
    </row>
    <row r="29" spans="1:15" ht="15">
      <c r="A29" s="348">
        <v>20</v>
      </c>
      <c r="B29" s="519" t="s">
        <v>850</v>
      </c>
      <c r="C29" s="343">
        <f>'AT-3'!F30</f>
        <v>1166</v>
      </c>
      <c r="D29" s="333">
        <v>1166</v>
      </c>
      <c r="E29" s="333">
        <v>1166</v>
      </c>
      <c r="F29" s="333">
        <v>0</v>
      </c>
      <c r="G29" s="333">
        <v>0</v>
      </c>
      <c r="H29" s="333">
        <v>0</v>
      </c>
      <c r="I29" s="333">
        <v>0</v>
      </c>
      <c r="J29" s="333">
        <v>0</v>
      </c>
      <c r="K29" s="333">
        <v>0</v>
      </c>
      <c r="L29" s="333">
        <v>0</v>
      </c>
      <c r="M29" s="333">
        <v>0</v>
      </c>
      <c r="N29" s="333">
        <v>0</v>
      </c>
      <c r="O29" s="333">
        <v>0</v>
      </c>
    </row>
    <row r="30" spans="1:15" ht="15">
      <c r="A30" s="348">
        <v>21</v>
      </c>
      <c r="B30" s="519" t="s">
        <v>851</v>
      </c>
      <c r="C30" s="343">
        <f>'AT-3'!F31</f>
        <v>1438</v>
      </c>
      <c r="D30" s="333">
        <v>1438</v>
      </c>
      <c r="E30" s="333">
        <v>1438</v>
      </c>
      <c r="F30" s="333">
        <v>0</v>
      </c>
      <c r="G30" s="333">
        <v>0</v>
      </c>
      <c r="H30" s="333">
        <v>0</v>
      </c>
      <c r="I30" s="333">
        <v>0</v>
      </c>
      <c r="J30" s="333">
        <v>0</v>
      </c>
      <c r="K30" s="333">
        <v>0</v>
      </c>
      <c r="L30" s="333">
        <v>0</v>
      </c>
      <c r="M30" s="333">
        <v>0</v>
      </c>
      <c r="N30" s="333">
        <v>0</v>
      </c>
      <c r="O30" s="333">
        <v>0</v>
      </c>
    </row>
    <row r="31" spans="1:15" ht="15">
      <c r="A31" s="348">
        <v>22</v>
      </c>
      <c r="B31" s="519" t="s">
        <v>852</v>
      </c>
      <c r="C31" s="343">
        <f>'AT-3'!F32</f>
        <v>1061</v>
      </c>
      <c r="D31" s="333">
        <v>1061</v>
      </c>
      <c r="E31" s="333">
        <v>1061</v>
      </c>
      <c r="F31" s="333">
        <v>0</v>
      </c>
      <c r="G31" s="333">
        <v>0</v>
      </c>
      <c r="H31" s="333">
        <v>0</v>
      </c>
      <c r="I31" s="333">
        <v>0</v>
      </c>
      <c r="J31" s="333">
        <v>0</v>
      </c>
      <c r="K31" s="333">
        <v>0</v>
      </c>
      <c r="L31" s="333">
        <v>0</v>
      </c>
      <c r="M31" s="333">
        <v>0</v>
      </c>
      <c r="N31" s="333">
        <v>0</v>
      </c>
      <c r="O31" s="333">
        <v>0</v>
      </c>
    </row>
    <row r="32" spans="1:15" ht="15">
      <c r="A32" s="348">
        <v>23</v>
      </c>
      <c r="B32" s="519" t="s">
        <v>853</v>
      </c>
      <c r="C32" s="343">
        <f>'AT-3'!F33</f>
        <v>1727</v>
      </c>
      <c r="D32" s="333">
        <v>1727</v>
      </c>
      <c r="E32" s="333">
        <v>1727</v>
      </c>
      <c r="F32" s="333">
        <v>1</v>
      </c>
      <c r="G32" s="334">
        <v>1</v>
      </c>
      <c r="H32" s="334">
        <v>0</v>
      </c>
      <c r="I32" s="334">
        <v>0</v>
      </c>
      <c r="J32" s="334">
        <v>0</v>
      </c>
      <c r="K32" s="334">
        <v>0</v>
      </c>
      <c r="L32" s="334">
        <v>0</v>
      </c>
      <c r="M32" s="334">
        <v>0</v>
      </c>
      <c r="N32" s="334">
        <v>0</v>
      </c>
      <c r="O32" s="334">
        <v>1</v>
      </c>
    </row>
    <row r="33" spans="1:15" ht="15">
      <c r="A33" s="348">
        <v>24</v>
      </c>
      <c r="B33" s="519" t="s">
        <v>854</v>
      </c>
      <c r="C33" s="343">
        <f>'AT-3'!F34</f>
        <v>2092</v>
      </c>
      <c r="D33" s="333">
        <v>2092</v>
      </c>
      <c r="E33" s="333">
        <v>2092</v>
      </c>
      <c r="F33" s="333">
        <v>28</v>
      </c>
      <c r="G33" s="334">
        <v>0</v>
      </c>
      <c r="H33" s="334">
        <v>0</v>
      </c>
      <c r="I33" s="334">
        <v>4</v>
      </c>
      <c r="J33" s="334">
        <v>13</v>
      </c>
      <c r="K33" s="334">
        <v>9</v>
      </c>
      <c r="L33" s="334">
        <v>2</v>
      </c>
      <c r="M33" s="334">
        <v>0</v>
      </c>
      <c r="N33" s="334">
        <v>9</v>
      </c>
      <c r="O33" s="334">
        <v>19</v>
      </c>
    </row>
    <row r="34" spans="1:15" s="11" customFormat="1" ht="12.75">
      <c r="A34" s="802" t="s">
        <v>860</v>
      </c>
      <c r="B34" s="803"/>
      <c r="C34" s="335">
        <f aca="true" t="shared" si="0" ref="C34:O34">SUM(C10:C33)</f>
        <v>39740</v>
      </c>
      <c r="D34" s="335">
        <f t="shared" si="0"/>
        <v>39518</v>
      </c>
      <c r="E34" s="335">
        <f t="shared" si="0"/>
        <v>39518</v>
      </c>
      <c r="F34" s="335">
        <f t="shared" si="0"/>
        <v>298</v>
      </c>
      <c r="G34" s="336">
        <f t="shared" si="0"/>
        <v>18</v>
      </c>
      <c r="H34" s="336">
        <f t="shared" si="0"/>
        <v>23</v>
      </c>
      <c r="I34" s="336">
        <f t="shared" si="0"/>
        <v>4</v>
      </c>
      <c r="J34" s="336">
        <f t="shared" si="0"/>
        <v>242</v>
      </c>
      <c r="K34" s="336">
        <f t="shared" si="0"/>
        <v>9</v>
      </c>
      <c r="L34" s="336">
        <f t="shared" si="0"/>
        <v>2</v>
      </c>
      <c r="M34" s="336">
        <f t="shared" si="0"/>
        <v>4</v>
      </c>
      <c r="N34" s="336">
        <f t="shared" si="0"/>
        <v>88</v>
      </c>
      <c r="O34" s="336">
        <f t="shared" si="0"/>
        <v>206</v>
      </c>
    </row>
    <row r="36" ht="12.75">
      <c r="A36" s="520"/>
    </row>
    <row r="39" spans="1:15" ht="12.75">
      <c r="A39" s="195"/>
      <c r="B39" s="195"/>
      <c r="C39" s="195"/>
      <c r="D39" s="195"/>
      <c r="G39" s="196"/>
      <c r="H39" s="196"/>
      <c r="L39" s="325"/>
      <c r="M39" s="325"/>
      <c r="N39" s="325"/>
      <c r="O39" s="325"/>
    </row>
    <row r="40" spans="1:13" ht="12.75">
      <c r="A40" s="559" t="s">
        <v>989</v>
      </c>
      <c r="B40" s="559"/>
      <c r="C40" s="559"/>
      <c r="F40" s="559" t="s">
        <v>990</v>
      </c>
      <c r="G40" s="559"/>
      <c r="K40" s="559" t="s">
        <v>996</v>
      </c>
      <c r="L40" s="559"/>
      <c r="M40" s="559"/>
    </row>
    <row r="41" spans="1:17" ht="12.75">
      <c r="A41" s="559" t="s">
        <v>991</v>
      </c>
      <c r="B41" s="559"/>
      <c r="C41" s="559"/>
      <c r="F41" s="559" t="s">
        <v>992</v>
      </c>
      <c r="G41" s="559"/>
      <c r="K41" s="559" t="s">
        <v>993</v>
      </c>
      <c r="L41" s="559"/>
      <c r="M41" s="559"/>
      <c r="Q41" s="354"/>
    </row>
    <row r="42" spans="1:17" ht="12.75">
      <c r="A42" s="559" t="s">
        <v>994</v>
      </c>
      <c r="B42" s="559"/>
      <c r="C42" s="559"/>
      <c r="F42" s="559" t="s">
        <v>995</v>
      </c>
      <c r="G42" s="559"/>
      <c r="K42" s="559" t="s">
        <v>995</v>
      </c>
      <c r="L42" s="559"/>
      <c r="M42" s="559"/>
      <c r="Q42" s="354"/>
    </row>
    <row r="43" spans="1:17" ht="12.75">
      <c r="A43" s="197"/>
      <c r="B43" s="197"/>
      <c r="C43" s="197"/>
      <c r="D43" s="197"/>
      <c r="E43" s="197"/>
      <c r="F43" s="197"/>
      <c r="G43" s="197"/>
      <c r="H43" s="197"/>
      <c r="I43" s="197"/>
      <c r="J43" s="197"/>
      <c r="K43" s="197"/>
      <c r="L43" s="197"/>
      <c r="M43" s="354"/>
      <c r="N43" s="354"/>
      <c r="O43" s="354"/>
      <c r="P43" s="354"/>
      <c r="Q43" s="354"/>
    </row>
    <row r="44" spans="15:18" ht="12.75">
      <c r="O44" s="354"/>
      <c r="P44" s="354"/>
      <c r="Q44" s="354"/>
      <c r="R44" s="354"/>
    </row>
  </sheetData>
  <sheetProtection/>
  <mergeCells count="31">
    <mergeCell ref="B7:B9"/>
    <mergeCell ref="I8:I9"/>
    <mergeCell ref="F7:F9"/>
    <mergeCell ref="K8:K9"/>
    <mergeCell ref="N1:O1"/>
    <mergeCell ref="A2:N2"/>
    <mergeCell ref="A4:N4"/>
    <mergeCell ref="M6:O6"/>
    <mergeCell ref="A7:A9"/>
    <mergeCell ref="N8:N9"/>
    <mergeCell ref="L7:L9"/>
    <mergeCell ref="F40:G40"/>
    <mergeCell ref="M8:M9"/>
    <mergeCell ref="O8:O9"/>
    <mergeCell ref="A34:B34"/>
    <mergeCell ref="A41:C41"/>
    <mergeCell ref="G8:H8"/>
    <mergeCell ref="C7:C9"/>
    <mergeCell ref="F41:G41"/>
    <mergeCell ref="E7:E9"/>
    <mergeCell ref="G7:K7"/>
    <mergeCell ref="K40:M40"/>
    <mergeCell ref="D7:D9"/>
    <mergeCell ref="K41:M41"/>
    <mergeCell ref="J8:J9"/>
    <mergeCell ref="A1:M1"/>
    <mergeCell ref="A42:C42"/>
    <mergeCell ref="F42:G42"/>
    <mergeCell ref="K42:M42"/>
    <mergeCell ref="M7:O7"/>
    <mergeCell ref="A40:C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S66"/>
  <sheetViews>
    <sheetView view="pageBreakPreview" zoomScale="70" zoomScaleNormal="85" zoomScaleSheetLayoutView="70" zoomScalePageLayoutView="0" workbookViewId="0" topLeftCell="A1">
      <selection activeCell="H66" sqref="H66"/>
    </sheetView>
  </sheetViews>
  <sheetFormatPr defaultColWidth="9.140625" defaultRowHeight="12.75"/>
  <cols>
    <col min="1" max="1" width="10.28125" style="12" customWidth="1"/>
    <col min="2" max="2" width="12.00390625" style="12" customWidth="1"/>
    <col min="3" max="3" width="16.28125" style="12" customWidth="1"/>
    <col min="4" max="4" width="15.8515625" style="12" customWidth="1"/>
    <col min="5" max="5" width="11.57421875" style="12" customWidth="1"/>
    <col min="6" max="6" width="15.00390625" style="12" customWidth="1"/>
    <col min="7" max="7" width="10.8515625" style="12" customWidth="1"/>
    <col min="8" max="8" width="15.140625" style="12" customWidth="1"/>
    <col min="9" max="9" width="16.57421875" style="12" customWidth="1"/>
    <col min="10" max="10" width="18.28125" style="12" customWidth="1"/>
    <col min="11" max="11" width="14.140625" style="12" customWidth="1"/>
    <col min="12" max="16384" width="9.140625" style="12" customWidth="1"/>
  </cols>
  <sheetData>
    <row r="1" spans="4:10" ht="15">
      <c r="D1" s="594"/>
      <c r="E1" s="594"/>
      <c r="H1" s="36"/>
      <c r="I1" s="681" t="s">
        <v>62</v>
      </c>
      <c r="J1" s="681"/>
    </row>
    <row r="2" spans="1:10" ht="15">
      <c r="A2" s="684" t="s">
        <v>0</v>
      </c>
      <c r="B2" s="684"/>
      <c r="C2" s="684"/>
      <c r="D2" s="684"/>
      <c r="E2" s="684"/>
      <c r="F2" s="684"/>
      <c r="G2" s="684"/>
      <c r="H2" s="684"/>
      <c r="I2" s="684"/>
      <c r="J2" s="684"/>
    </row>
    <row r="3" spans="1:10" ht="20.25">
      <c r="A3" s="591" t="s">
        <v>645</v>
      </c>
      <c r="B3" s="591"/>
      <c r="C3" s="591"/>
      <c r="D3" s="591"/>
      <c r="E3" s="591"/>
      <c r="F3" s="591"/>
      <c r="G3" s="591"/>
      <c r="H3" s="591"/>
      <c r="I3" s="591"/>
      <c r="J3" s="591"/>
    </row>
    <row r="4" ht="10.5" customHeight="1"/>
    <row r="5" spans="1:11" ht="24.75" customHeight="1">
      <c r="A5" s="810" t="s">
        <v>439</v>
      </c>
      <c r="B5" s="810"/>
      <c r="C5" s="810"/>
      <c r="D5" s="810"/>
      <c r="E5" s="810"/>
      <c r="F5" s="810"/>
      <c r="G5" s="810"/>
      <c r="H5" s="810"/>
      <c r="I5" s="810"/>
      <c r="J5" s="810"/>
      <c r="K5" s="810"/>
    </row>
    <row r="6" spans="1:10" ht="15.75" customHeight="1">
      <c r="A6" s="39"/>
      <c r="B6" s="39"/>
      <c r="C6" s="39"/>
      <c r="D6" s="39"/>
      <c r="E6" s="39"/>
      <c r="F6" s="39"/>
      <c r="G6" s="39"/>
      <c r="H6" s="39"/>
      <c r="I6" s="39"/>
      <c r="J6" s="39"/>
    </row>
    <row r="7" spans="1:11" ht="12.75">
      <c r="A7" s="593" t="s">
        <v>157</v>
      </c>
      <c r="B7" s="593"/>
      <c r="E7" s="815"/>
      <c r="F7" s="815"/>
      <c r="G7" s="815"/>
      <c r="H7" s="815"/>
      <c r="I7" s="815" t="s">
        <v>988</v>
      </c>
      <c r="J7" s="815"/>
      <c r="K7" s="815"/>
    </row>
    <row r="8" spans="3:10" s="10" customFormat="1" ht="15.75">
      <c r="C8" s="684" t="s">
        <v>10</v>
      </c>
      <c r="D8" s="684"/>
      <c r="E8" s="684"/>
      <c r="F8" s="684"/>
      <c r="G8" s="684"/>
      <c r="H8" s="684"/>
      <c r="I8" s="684"/>
      <c r="J8" s="684"/>
    </row>
    <row r="9" spans="1:19" ht="44.25" customHeight="1">
      <c r="A9" s="685" t="s">
        <v>17</v>
      </c>
      <c r="B9" s="685" t="s">
        <v>52</v>
      </c>
      <c r="C9" s="574" t="s">
        <v>467</v>
      </c>
      <c r="D9" s="575"/>
      <c r="E9" s="574" t="s">
        <v>32</v>
      </c>
      <c r="F9" s="575"/>
      <c r="G9" s="574" t="s">
        <v>33</v>
      </c>
      <c r="H9" s="575"/>
      <c r="I9" s="573" t="s">
        <v>98</v>
      </c>
      <c r="J9" s="573"/>
      <c r="K9" s="685" t="s">
        <v>520</v>
      </c>
      <c r="R9" s="15"/>
      <c r="S9" s="17"/>
    </row>
    <row r="10" spans="1:11" s="11" customFormat="1" ht="42" customHeight="1">
      <c r="A10" s="686"/>
      <c r="B10" s="686"/>
      <c r="C10" s="5" t="s">
        <v>34</v>
      </c>
      <c r="D10" s="5" t="s">
        <v>97</v>
      </c>
      <c r="E10" s="5" t="s">
        <v>34</v>
      </c>
      <c r="F10" s="5" t="s">
        <v>97</v>
      </c>
      <c r="G10" s="5" t="s">
        <v>34</v>
      </c>
      <c r="H10" s="5" t="s">
        <v>97</v>
      </c>
      <c r="I10" s="5" t="s">
        <v>132</v>
      </c>
      <c r="J10" s="5" t="s">
        <v>133</v>
      </c>
      <c r="K10" s="686"/>
    </row>
    <row r="11" spans="1:11" ht="12.75">
      <c r="A11" s="3">
        <v>1</v>
      </c>
      <c r="B11" s="3">
        <v>2</v>
      </c>
      <c r="C11" s="3">
        <v>3</v>
      </c>
      <c r="D11" s="3">
        <v>4</v>
      </c>
      <c r="E11" s="3">
        <v>5</v>
      </c>
      <c r="F11" s="3">
        <v>6</v>
      </c>
      <c r="G11" s="3">
        <v>7</v>
      </c>
      <c r="H11" s="3">
        <v>8</v>
      </c>
      <c r="I11" s="3">
        <v>9</v>
      </c>
      <c r="J11" s="3">
        <v>10</v>
      </c>
      <c r="K11" s="3">
        <v>11</v>
      </c>
    </row>
    <row r="12" spans="1:11" ht="17.25" customHeight="1">
      <c r="A12" s="14">
        <v>1</v>
      </c>
      <c r="B12" s="14" t="s">
        <v>373</v>
      </c>
      <c r="C12" s="816">
        <f>12114+550</f>
        <v>12664</v>
      </c>
      <c r="D12" s="813">
        <f>C12*0.6</f>
        <v>7598.4</v>
      </c>
      <c r="E12" s="811">
        <v>12114</v>
      </c>
      <c r="F12" s="813">
        <v>7268.4</v>
      </c>
      <c r="G12" s="812">
        <v>0</v>
      </c>
      <c r="H12" s="814">
        <v>0</v>
      </c>
      <c r="I12" s="811">
        <f>C12-E12-G12</f>
        <v>550</v>
      </c>
      <c r="J12" s="814">
        <f>D12-F12-H12</f>
        <v>330</v>
      </c>
      <c r="K12" s="809">
        <v>808</v>
      </c>
    </row>
    <row r="13" spans="1:11" ht="17.25" customHeight="1">
      <c r="A13" s="14">
        <v>2</v>
      </c>
      <c r="B13" s="14" t="s">
        <v>374</v>
      </c>
      <c r="C13" s="816"/>
      <c r="D13" s="813"/>
      <c r="E13" s="811"/>
      <c r="F13" s="813"/>
      <c r="G13" s="812"/>
      <c r="H13" s="814"/>
      <c r="I13" s="811"/>
      <c r="J13" s="814"/>
      <c r="K13" s="809"/>
    </row>
    <row r="14" spans="1:11" ht="17.25" customHeight="1">
      <c r="A14" s="14">
        <v>3</v>
      </c>
      <c r="B14" s="14" t="s">
        <v>375</v>
      </c>
      <c r="C14" s="816"/>
      <c r="D14" s="813"/>
      <c r="E14" s="811"/>
      <c r="F14" s="813"/>
      <c r="G14" s="812"/>
      <c r="H14" s="814"/>
      <c r="I14" s="811"/>
      <c r="J14" s="814"/>
      <c r="K14" s="809"/>
    </row>
    <row r="15" spans="1:11" ht="17.25" customHeight="1">
      <c r="A15" s="14">
        <v>4</v>
      </c>
      <c r="B15" s="14" t="s">
        <v>376</v>
      </c>
      <c r="C15" s="816"/>
      <c r="D15" s="813"/>
      <c r="E15" s="811"/>
      <c r="F15" s="813"/>
      <c r="G15" s="812"/>
      <c r="H15" s="814"/>
      <c r="I15" s="811"/>
      <c r="J15" s="814"/>
      <c r="K15" s="809"/>
    </row>
    <row r="16" spans="1:11" ht="17.25" customHeight="1">
      <c r="A16" s="14">
        <v>5</v>
      </c>
      <c r="B16" s="14" t="s">
        <v>377</v>
      </c>
      <c r="C16" s="816"/>
      <c r="D16" s="813"/>
      <c r="E16" s="811"/>
      <c r="F16" s="813"/>
      <c r="G16" s="812"/>
      <c r="H16" s="814"/>
      <c r="I16" s="811"/>
      <c r="J16" s="814"/>
      <c r="K16" s="809"/>
    </row>
    <row r="17" spans="1:11" ht="17.25" customHeight="1">
      <c r="A17" s="14">
        <v>6</v>
      </c>
      <c r="B17" s="14" t="s">
        <v>378</v>
      </c>
      <c r="C17" s="267">
        <f>7737+2000</f>
        <v>9737</v>
      </c>
      <c r="D17" s="268">
        <v>7912.2</v>
      </c>
      <c r="E17" s="811">
        <f>29012-12114</f>
        <v>16898</v>
      </c>
      <c r="F17" s="813">
        <f>27859.07-7268.4</f>
        <v>20590.67</v>
      </c>
      <c r="G17" s="812">
        <v>3987</v>
      </c>
      <c r="H17" s="814">
        <v>4615.82</v>
      </c>
      <c r="I17" s="811">
        <v>5452</v>
      </c>
      <c r="J17" s="814">
        <f>8370.6-330</f>
        <v>8040.6</v>
      </c>
      <c r="K17" s="809"/>
    </row>
    <row r="18" spans="1:11" ht="17.25" customHeight="1">
      <c r="A18" s="14">
        <v>7</v>
      </c>
      <c r="B18" s="14" t="s">
        <v>379</v>
      </c>
      <c r="C18" s="267">
        <v>16600</v>
      </c>
      <c r="D18" s="268">
        <f>40845.49-15510.6</f>
        <v>25334.89</v>
      </c>
      <c r="E18" s="811"/>
      <c r="F18" s="813"/>
      <c r="G18" s="812"/>
      <c r="H18" s="814"/>
      <c r="I18" s="811"/>
      <c r="J18" s="814"/>
      <c r="K18" s="809"/>
    </row>
    <row r="19" spans="1:11" s="17" customFormat="1" ht="14.25" customHeight="1">
      <c r="A19" s="14">
        <v>8</v>
      </c>
      <c r="B19" s="14" t="s">
        <v>259</v>
      </c>
      <c r="C19" s="267"/>
      <c r="D19" s="268"/>
      <c r="E19" s="380"/>
      <c r="F19" s="268"/>
      <c r="G19" s="381"/>
      <c r="H19" s="382"/>
      <c r="I19" s="380"/>
      <c r="J19" s="382"/>
      <c r="K19" s="809"/>
    </row>
    <row r="20" spans="1:11" s="17" customFormat="1" ht="14.25" customHeight="1">
      <c r="A20" s="14">
        <v>9</v>
      </c>
      <c r="B20" s="14" t="s">
        <v>356</v>
      </c>
      <c r="C20" s="267"/>
      <c r="D20" s="268"/>
      <c r="E20" s="380"/>
      <c r="F20" s="268"/>
      <c r="G20" s="381"/>
      <c r="H20" s="382"/>
      <c r="I20" s="380"/>
      <c r="J20" s="382"/>
      <c r="K20" s="809"/>
    </row>
    <row r="21" spans="1:11" s="17" customFormat="1" ht="14.25" customHeight="1">
      <c r="A21" s="14">
        <v>10</v>
      </c>
      <c r="B21" s="14" t="s">
        <v>519</v>
      </c>
      <c r="C21" s="267"/>
      <c r="D21" s="268"/>
      <c r="E21" s="380"/>
      <c r="F21" s="268"/>
      <c r="G21" s="381"/>
      <c r="H21" s="382"/>
      <c r="I21" s="380"/>
      <c r="J21" s="382"/>
      <c r="K21" s="809"/>
    </row>
    <row r="22" spans="1:11" s="17" customFormat="1" ht="14.25" customHeight="1">
      <c r="A22" s="14">
        <v>11</v>
      </c>
      <c r="B22" s="14" t="s">
        <v>479</v>
      </c>
      <c r="C22" s="269"/>
      <c r="D22" s="270"/>
      <c r="E22" s="271"/>
      <c r="F22" s="270"/>
      <c r="G22" s="272"/>
      <c r="H22" s="273"/>
      <c r="I22" s="271"/>
      <c r="J22" s="273"/>
      <c r="K22" s="809"/>
    </row>
    <row r="23" spans="1:11" s="17" customFormat="1" ht="14.25" customHeight="1">
      <c r="A23" s="14">
        <v>12</v>
      </c>
      <c r="B23" s="14" t="s">
        <v>517</v>
      </c>
      <c r="C23" s="15"/>
      <c r="D23" s="15"/>
      <c r="E23" s="15"/>
      <c r="F23" s="15"/>
      <c r="G23" s="15"/>
      <c r="H23" s="15"/>
      <c r="I23" s="15"/>
      <c r="J23" s="15"/>
      <c r="K23" s="809"/>
    </row>
    <row r="24" spans="1:11" s="17" customFormat="1" ht="15.75" customHeight="1">
      <c r="A24" s="572" t="s">
        <v>13</v>
      </c>
      <c r="B24" s="572"/>
      <c r="C24" s="274">
        <f aca="true" t="shared" si="0" ref="C24:J24">SUM(C12:C22)</f>
        <v>39001</v>
      </c>
      <c r="D24" s="274">
        <f t="shared" si="0"/>
        <v>40845.49</v>
      </c>
      <c r="E24" s="274">
        <f t="shared" si="0"/>
        <v>29012</v>
      </c>
      <c r="F24" s="274">
        <f t="shared" si="0"/>
        <v>27859.07</v>
      </c>
      <c r="G24" s="274">
        <f t="shared" si="0"/>
        <v>3987</v>
      </c>
      <c r="H24" s="274">
        <f t="shared" si="0"/>
        <v>4615.82</v>
      </c>
      <c r="I24" s="274">
        <f t="shared" si="0"/>
        <v>6002</v>
      </c>
      <c r="J24" s="379">
        <f t="shared" si="0"/>
        <v>8370.6</v>
      </c>
      <c r="K24" s="15"/>
    </row>
    <row r="25" s="17" customFormat="1" ht="12.75">
      <c r="A25" s="16"/>
    </row>
    <row r="26" s="17" customFormat="1" ht="12.75">
      <c r="A26" s="16"/>
    </row>
    <row r="27" s="17" customFormat="1" ht="12.75">
      <c r="A27" s="16"/>
    </row>
    <row r="28" spans="2:16" ht="13.5" customHeight="1">
      <c r="B28" s="68"/>
      <c r="C28" s="68"/>
      <c r="D28" s="68"/>
      <c r="E28" s="68"/>
      <c r="F28" s="68"/>
      <c r="G28" s="68"/>
      <c r="H28" s="68"/>
      <c r="I28" s="68"/>
      <c r="J28" s="68"/>
      <c r="K28" s="68"/>
      <c r="L28" s="68"/>
      <c r="M28" s="68"/>
      <c r="N28" s="68"/>
      <c r="O28" s="68"/>
      <c r="P28" s="68"/>
    </row>
    <row r="29" spans="1:16" ht="12.75" customHeight="1">
      <c r="A29" s="68"/>
      <c r="B29" s="68"/>
      <c r="C29" s="68"/>
      <c r="D29" s="68"/>
      <c r="E29" s="68"/>
      <c r="F29" s="68"/>
      <c r="G29" s="68"/>
      <c r="H29" s="68"/>
      <c r="I29" s="68"/>
      <c r="J29" s="68"/>
      <c r="K29" s="68"/>
      <c r="L29" s="68"/>
      <c r="M29" s="68"/>
      <c r="N29" s="68"/>
      <c r="O29" s="68"/>
      <c r="P29" s="68"/>
    </row>
    <row r="30" spans="1:16" ht="12.75" customHeight="1">
      <c r="A30" s="559" t="s">
        <v>989</v>
      </c>
      <c r="B30" s="559"/>
      <c r="C30" s="559"/>
      <c r="F30" s="559" t="s">
        <v>990</v>
      </c>
      <c r="G30" s="559"/>
      <c r="J30" s="559" t="s">
        <v>996</v>
      </c>
      <c r="K30" s="559"/>
      <c r="L30" s="359"/>
      <c r="M30" s="359"/>
      <c r="N30" s="68"/>
      <c r="O30" s="68"/>
      <c r="P30" s="68"/>
    </row>
    <row r="31" spans="1:13" ht="12.75">
      <c r="A31" s="559" t="s">
        <v>991</v>
      </c>
      <c r="B31" s="559"/>
      <c r="C31" s="559"/>
      <c r="F31" s="559" t="s">
        <v>992</v>
      </c>
      <c r="G31" s="559"/>
      <c r="J31" s="559" t="s">
        <v>993</v>
      </c>
      <c r="K31" s="559"/>
      <c r="L31" s="359"/>
      <c r="M31" s="359"/>
    </row>
    <row r="32" spans="1:13" ht="12.75">
      <c r="A32" s="559" t="s">
        <v>994</v>
      </c>
      <c r="B32" s="559"/>
      <c r="C32" s="559"/>
      <c r="F32" s="559" t="s">
        <v>995</v>
      </c>
      <c r="G32" s="559"/>
      <c r="J32" s="559" t="s">
        <v>995</v>
      </c>
      <c r="K32" s="559"/>
      <c r="L32" s="359"/>
      <c r="M32" s="359"/>
    </row>
    <row r="33" spans="1:10" ht="12.75">
      <c r="A33" s="687"/>
      <c r="B33" s="687"/>
      <c r="C33" s="687"/>
      <c r="D33" s="687"/>
      <c r="E33" s="687"/>
      <c r="F33" s="687"/>
      <c r="G33" s="687"/>
      <c r="H33" s="687"/>
      <c r="I33" s="687"/>
      <c r="J33" s="687"/>
    </row>
    <row r="66" ht="12.75">
      <c r="F66" s="517">
        <f>F17+H17</f>
        <v>25206.489999999998</v>
      </c>
    </row>
  </sheetData>
  <sheetProtection/>
  <mergeCells count="42">
    <mergeCell ref="F30:G30"/>
    <mergeCell ref="C9:D9"/>
    <mergeCell ref="E9:F9"/>
    <mergeCell ref="E17:E18"/>
    <mergeCell ref="I9:J9"/>
    <mergeCell ref="J12:J16"/>
    <mergeCell ref="A33:J33"/>
    <mergeCell ref="C12:C16"/>
    <mergeCell ref="D12:D16"/>
    <mergeCell ref="E12:E16"/>
    <mergeCell ref="F12:F16"/>
    <mergeCell ref="H12:H16"/>
    <mergeCell ref="I12:I16"/>
    <mergeCell ref="A31:C31"/>
    <mergeCell ref="J17:J18"/>
    <mergeCell ref="A30:C30"/>
    <mergeCell ref="E7:H7"/>
    <mergeCell ref="I7:K7"/>
    <mergeCell ref="C8:J8"/>
    <mergeCell ref="A9:A10"/>
    <mergeCell ref="B9:B10"/>
    <mergeCell ref="K9:K10"/>
    <mergeCell ref="A32:C32"/>
    <mergeCell ref="F32:G32"/>
    <mergeCell ref="J30:K30"/>
    <mergeCell ref="J31:K31"/>
    <mergeCell ref="J32:K32"/>
    <mergeCell ref="G9:H9"/>
    <mergeCell ref="F31:G31"/>
    <mergeCell ref="F17:F18"/>
    <mergeCell ref="G17:G18"/>
    <mergeCell ref="H17:H18"/>
    <mergeCell ref="K12:K23"/>
    <mergeCell ref="A24:B24"/>
    <mergeCell ref="D1:E1"/>
    <mergeCell ref="I1:J1"/>
    <mergeCell ref="A2:J2"/>
    <mergeCell ref="A3:J3"/>
    <mergeCell ref="A5:K5"/>
    <mergeCell ref="I17:I18"/>
    <mergeCell ref="G12:G16"/>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S113"/>
  <sheetViews>
    <sheetView view="pageBreakPreview" zoomScale="70" zoomScaleSheetLayoutView="70" zoomScalePageLayoutView="0" workbookViewId="0" topLeftCell="A1">
      <selection activeCell="G12" sqref="G12:G35"/>
    </sheetView>
  </sheetViews>
  <sheetFormatPr defaultColWidth="9.140625" defaultRowHeight="12.75"/>
  <cols>
    <col min="1" max="1" width="9.140625" style="12" customWidth="1"/>
    <col min="2" max="2" width="17.57421875" style="12" customWidth="1"/>
    <col min="3" max="3" width="16.28125" style="12" customWidth="1"/>
    <col min="4" max="4" width="15.8515625" style="12" customWidth="1"/>
    <col min="5" max="5" width="11.57421875" style="12" customWidth="1"/>
    <col min="6" max="6" width="15.00390625" style="12" customWidth="1"/>
    <col min="7" max="7" width="9.7109375" style="12" customWidth="1"/>
    <col min="8" max="8" width="15.140625" style="12" customWidth="1"/>
    <col min="9" max="9" width="16.57421875" style="12" customWidth="1"/>
    <col min="10" max="10" width="18.28125" style="12" customWidth="1"/>
    <col min="11" max="11" width="14.140625" style="12" customWidth="1"/>
    <col min="12" max="16384" width="9.140625" style="12" customWidth="1"/>
  </cols>
  <sheetData>
    <row r="1" spans="4:10" ht="15">
      <c r="D1" s="594"/>
      <c r="E1" s="594"/>
      <c r="H1" s="36"/>
      <c r="I1" s="681" t="s">
        <v>380</v>
      </c>
      <c r="J1" s="681"/>
    </row>
    <row r="2" spans="1:11" ht="15">
      <c r="A2" s="810" t="s">
        <v>0</v>
      </c>
      <c r="B2" s="810"/>
      <c r="C2" s="810"/>
      <c r="D2" s="810"/>
      <c r="E2" s="810"/>
      <c r="F2" s="810"/>
      <c r="G2" s="810"/>
      <c r="H2" s="810"/>
      <c r="I2" s="810"/>
      <c r="J2" s="810"/>
      <c r="K2" s="810"/>
    </row>
    <row r="3" spans="1:11" ht="15">
      <c r="A3" s="810" t="s">
        <v>681</v>
      </c>
      <c r="B3" s="810"/>
      <c r="C3" s="810"/>
      <c r="D3" s="810"/>
      <c r="E3" s="810"/>
      <c r="F3" s="810"/>
      <c r="G3" s="810"/>
      <c r="H3" s="810"/>
      <c r="I3" s="810"/>
      <c r="J3" s="810"/>
      <c r="K3" s="810"/>
    </row>
    <row r="4" ht="10.5" customHeight="1"/>
    <row r="5" spans="1:11" ht="18.75" customHeight="1">
      <c r="A5" s="810" t="s">
        <v>440</v>
      </c>
      <c r="B5" s="810"/>
      <c r="C5" s="810"/>
      <c r="D5" s="810"/>
      <c r="E5" s="810"/>
      <c r="F5" s="810"/>
      <c r="G5" s="810"/>
      <c r="H5" s="810"/>
      <c r="I5" s="810"/>
      <c r="J5" s="810"/>
      <c r="K5" s="810"/>
    </row>
    <row r="6" spans="1:10" ht="15.75" customHeight="1">
      <c r="A6" s="39"/>
      <c r="B6" s="39"/>
      <c r="C6" s="39"/>
      <c r="D6" s="39"/>
      <c r="E6" s="39"/>
      <c r="F6" s="39"/>
      <c r="G6" s="39"/>
      <c r="H6" s="39"/>
      <c r="I6" s="39"/>
      <c r="J6" s="39"/>
    </row>
    <row r="7" spans="1:11" ht="12.75">
      <c r="A7" s="593" t="s">
        <v>157</v>
      </c>
      <c r="B7" s="593"/>
      <c r="E7" s="815"/>
      <c r="F7" s="815"/>
      <c r="G7" s="815"/>
      <c r="H7" s="815"/>
      <c r="I7" s="815" t="s">
        <v>988</v>
      </c>
      <c r="J7" s="815"/>
      <c r="K7" s="815"/>
    </row>
    <row r="8" spans="3:10" s="10" customFormat="1" ht="15" customHeight="1">
      <c r="C8" s="684" t="s">
        <v>10</v>
      </c>
      <c r="D8" s="684"/>
      <c r="E8" s="684"/>
      <c r="F8" s="684"/>
      <c r="G8" s="684"/>
      <c r="H8" s="684"/>
      <c r="I8" s="684"/>
      <c r="J8" s="684"/>
    </row>
    <row r="9" spans="1:19" ht="30" customHeight="1">
      <c r="A9" s="685" t="s">
        <v>17</v>
      </c>
      <c r="B9" s="685" t="s">
        <v>31</v>
      </c>
      <c r="C9" s="574" t="s">
        <v>682</v>
      </c>
      <c r="D9" s="575"/>
      <c r="E9" s="574" t="s">
        <v>32</v>
      </c>
      <c r="F9" s="575"/>
      <c r="G9" s="574" t="s">
        <v>33</v>
      </c>
      <c r="H9" s="575"/>
      <c r="I9" s="573" t="s">
        <v>98</v>
      </c>
      <c r="J9" s="573"/>
      <c r="K9" s="685" t="s">
        <v>244</v>
      </c>
      <c r="R9" s="15"/>
      <c r="S9" s="17"/>
    </row>
    <row r="10" spans="1:11" s="11" customFormat="1" ht="42" customHeight="1">
      <c r="A10" s="686"/>
      <c r="B10" s="686"/>
      <c r="C10" s="5" t="s">
        <v>34</v>
      </c>
      <c r="D10" s="5" t="s">
        <v>97</v>
      </c>
      <c r="E10" s="5" t="s">
        <v>34</v>
      </c>
      <c r="F10" s="5" t="s">
        <v>97</v>
      </c>
      <c r="G10" s="5" t="s">
        <v>34</v>
      </c>
      <c r="H10" s="5" t="s">
        <v>97</v>
      </c>
      <c r="I10" s="5" t="s">
        <v>132</v>
      </c>
      <c r="J10" s="5" t="s">
        <v>133</v>
      </c>
      <c r="K10" s="686"/>
    </row>
    <row r="11" spans="1:11" ht="12.75">
      <c r="A11" s="112">
        <v>1</v>
      </c>
      <c r="B11" s="112">
        <v>2</v>
      </c>
      <c r="C11" s="112">
        <v>3</v>
      </c>
      <c r="D11" s="112">
        <v>4</v>
      </c>
      <c r="E11" s="112">
        <v>5</v>
      </c>
      <c r="F11" s="112">
        <v>6</v>
      </c>
      <c r="G11" s="112">
        <v>7</v>
      </c>
      <c r="H11" s="112">
        <v>8</v>
      </c>
      <c r="I11" s="112">
        <v>9</v>
      </c>
      <c r="J11" s="112">
        <v>10</v>
      </c>
      <c r="K11" s="3">
        <v>11</v>
      </c>
    </row>
    <row r="12" spans="1:11" ht="12.75">
      <c r="A12" s="14">
        <v>1</v>
      </c>
      <c r="B12" s="224" t="s">
        <v>831</v>
      </c>
      <c r="C12" s="548">
        <v>2578</v>
      </c>
      <c r="D12" s="337">
        <v>2844.925</v>
      </c>
      <c r="E12" s="549">
        <v>2498</v>
      </c>
      <c r="F12" s="550">
        <v>2652.11</v>
      </c>
      <c r="G12" s="551">
        <v>38</v>
      </c>
      <c r="H12" s="550">
        <v>61.56</v>
      </c>
      <c r="I12" s="548">
        <f>C12-E12-G12</f>
        <v>42</v>
      </c>
      <c r="J12" s="337">
        <f>D12-F12-H12</f>
        <v>131.25500000000005</v>
      </c>
      <c r="K12" s="14"/>
    </row>
    <row r="13" spans="1:11" ht="12.75">
      <c r="A13" s="14">
        <v>2</v>
      </c>
      <c r="B13" s="224" t="s">
        <v>832</v>
      </c>
      <c r="C13" s="548">
        <v>1021</v>
      </c>
      <c r="D13" s="337">
        <v>1095.945</v>
      </c>
      <c r="E13" s="552">
        <v>889</v>
      </c>
      <c r="F13" s="337">
        <v>884.7</v>
      </c>
      <c r="G13" s="548">
        <v>0</v>
      </c>
      <c r="H13" s="337">
        <v>0</v>
      </c>
      <c r="I13" s="548">
        <f aca="true" t="shared" si="0" ref="I13:I35">C13-E13-G13</f>
        <v>132</v>
      </c>
      <c r="J13" s="337">
        <f aca="true" t="shared" si="1" ref="J13:J35">D13-F13-H13</f>
        <v>211.2449999999999</v>
      </c>
      <c r="K13" s="14"/>
    </row>
    <row r="14" spans="1:11" ht="12.75">
      <c r="A14" s="14">
        <v>3</v>
      </c>
      <c r="B14" s="224" t="s">
        <v>833</v>
      </c>
      <c r="C14" s="548">
        <v>710</v>
      </c>
      <c r="D14" s="337">
        <v>771.99</v>
      </c>
      <c r="E14" s="552">
        <v>510</v>
      </c>
      <c r="F14" s="337">
        <v>528.48</v>
      </c>
      <c r="G14" s="548">
        <v>0</v>
      </c>
      <c r="H14" s="337">
        <v>0.004999999999967031</v>
      </c>
      <c r="I14" s="548">
        <f t="shared" si="0"/>
        <v>200</v>
      </c>
      <c r="J14" s="337">
        <f t="shared" si="1"/>
        <v>243.50500000000002</v>
      </c>
      <c r="K14" s="14"/>
    </row>
    <row r="15" spans="1:11" ht="12.75">
      <c r="A15" s="14">
        <v>4</v>
      </c>
      <c r="B15" s="224" t="s">
        <v>834</v>
      </c>
      <c r="C15" s="548">
        <v>1776</v>
      </c>
      <c r="D15" s="337">
        <v>1911.345</v>
      </c>
      <c r="E15" s="549">
        <v>1018</v>
      </c>
      <c r="F15" s="550">
        <v>967.88</v>
      </c>
      <c r="G15" s="551">
        <v>255</v>
      </c>
      <c r="H15" s="550">
        <v>475.31999999999994</v>
      </c>
      <c r="I15" s="548">
        <f t="shared" si="0"/>
        <v>503</v>
      </c>
      <c r="J15" s="337">
        <f t="shared" si="1"/>
        <v>468.1450000000001</v>
      </c>
      <c r="K15" s="14"/>
    </row>
    <row r="16" spans="1:11" ht="12.75">
      <c r="A16" s="14">
        <v>5</v>
      </c>
      <c r="B16" s="224" t="s">
        <v>835</v>
      </c>
      <c r="C16" s="548">
        <v>1025</v>
      </c>
      <c r="D16" s="337">
        <v>959.535</v>
      </c>
      <c r="E16" s="552">
        <v>920</v>
      </c>
      <c r="F16" s="337">
        <v>793.04</v>
      </c>
      <c r="G16" s="548">
        <v>0</v>
      </c>
      <c r="H16" s="337">
        <v>5.7000000000000455</v>
      </c>
      <c r="I16" s="548">
        <f t="shared" si="0"/>
        <v>105</v>
      </c>
      <c r="J16" s="337">
        <f t="shared" si="1"/>
        <v>160.79499999999996</v>
      </c>
      <c r="K16" s="14"/>
    </row>
    <row r="17" spans="1:11" ht="12.75">
      <c r="A17" s="14">
        <v>6</v>
      </c>
      <c r="B17" s="224" t="s">
        <v>836</v>
      </c>
      <c r="C17" s="548">
        <v>1897</v>
      </c>
      <c r="D17" s="337">
        <v>1870.235</v>
      </c>
      <c r="E17" s="552">
        <v>1620</v>
      </c>
      <c r="F17" s="337">
        <v>1419.81</v>
      </c>
      <c r="G17" s="548">
        <v>74</v>
      </c>
      <c r="H17" s="337">
        <v>61.00999999999999</v>
      </c>
      <c r="I17" s="548">
        <f t="shared" si="0"/>
        <v>203</v>
      </c>
      <c r="J17" s="337">
        <f t="shared" si="1"/>
        <v>389.41499999999996</v>
      </c>
      <c r="K17" s="14"/>
    </row>
    <row r="18" spans="1:11" ht="12.75">
      <c r="A18" s="14">
        <v>7</v>
      </c>
      <c r="B18" s="224" t="s">
        <v>837</v>
      </c>
      <c r="C18" s="548">
        <v>1578</v>
      </c>
      <c r="D18" s="337">
        <v>1613.52</v>
      </c>
      <c r="E18" s="552">
        <v>1174</v>
      </c>
      <c r="F18" s="337">
        <v>901.41</v>
      </c>
      <c r="G18" s="548">
        <v>298</v>
      </c>
      <c r="H18" s="337">
        <v>543.96</v>
      </c>
      <c r="I18" s="548">
        <f t="shared" si="0"/>
        <v>106</v>
      </c>
      <c r="J18" s="337">
        <f t="shared" si="1"/>
        <v>168.14999999999998</v>
      </c>
      <c r="K18" s="14"/>
    </row>
    <row r="19" spans="1:11" ht="12.75">
      <c r="A19" s="14">
        <v>8</v>
      </c>
      <c r="B19" s="224" t="s">
        <v>838</v>
      </c>
      <c r="C19" s="548">
        <v>2253</v>
      </c>
      <c r="D19" s="337">
        <v>2252.972</v>
      </c>
      <c r="E19" s="552">
        <v>1796</v>
      </c>
      <c r="F19" s="337">
        <v>1644.54</v>
      </c>
      <c r="G19" s="548">
        <v>125</v>
      </c>
      <c r="H19" s="337">
        <v>100.65999999999997</v>
      </c>
      <c r="I19" s="548">
        <f t="shared" si="0"/>
        <v>332</v>
      </c>
      <c r="J19" s="337">
        <f t="shared" si="1"/>
        <v>507.7720000000003</v>
      </c>
      <c r="K19" s="14"/>
    </row>
    <row r="20" spans="1:11" ht="12.75">
      <c r="A20" s="14">
        <v>9</v>
      </c>
      <c r="B20" s="224" t="s">
        <v>839</v>
      </c>
      <c r="C20" s="548">
        <v>2383</v>
      </c>
      <c r="D20" s="337">
        <v>2456.325</v>
      </c>
      <c r="E20" s="552">
        <v>2221</v>
      </c>
      <c r="F20" s="337">
        <v>2232.15</v>
      </c>
      <c r="G20" s="548">
        <v>0</v>
      </c>
      <c r="H20" s="337">
        <v>0</v>
      </c>
      <c r="I20" s="548">
        <f t="shared" si="0"/>
        <v>162</v>
      </c>
      <c r="J20" s="337">
        <f t="shared" si="1"/>
        <v>224.17499999999973</v>
      </c>
      <c r="K20" s="14"/>
    </row>
    <row r="21" spans="1:11" ht="12.75">
      <c r="A21" s="14">
        <v>10</v>
      </c>
      <c r="B21" s="224" t="s">
        <v>840</v>
      </c>
      <c r="C21" s="548">
        <v>1119</v>
      </c>
      <c r="D21" s="337">
        <v>1048.725</v>
      </c>
      <c r="E21" s="552">
        <v>436</v>
      </c>
      <c r="F21" s="552">
        <v>287.86</v>
      </c>
      <c r="G21" s="548">
        <v>479</v>
      </c>
      <c r="H21" s="337">
        <v>279</v>
      </c>
      <c r="I21" s="548">
        <f t="shared" si="0"/>
        <v>204</v>
      </c>
      <c r="J21" s="337">
        <f t="shared" si="1"/>
        <v>481.8649999999999</v>
      </c>
      <c r="K21" s="14"/>
    </row>
    <row r="22" spans="1:11" ht="12.75">
      <c r="A22" s="14">
        <v>11</v>
      </c>
      <c r="B22" s="224" t="s">
        <v>841</v>
      </c>
      <c r="C22" s="548">
        <v>1423</v>
      </c>
      <c r="D22" s="337">
        <v>1578.135</v>
      </c>
      <c r="E22" s="552">
        <v>1106</v>
      </c>
      <c r="F22" s="337">
        <v>1285.47</v>
      </c>
      <c r="G22" s="548">
        <v>278</v>
      </c>
      <c r="H22" s="337">
        <v>252.16</v>
      </c>
      <c r="I22" s="548">
        <f t="shared" si="0"/>
        <v>39</v>
      </c>
      <c r="J22" s="337">
        <f t="shared" si="1"/>
        <v>40.50499999999997</v>
      </c>
      <c r="K22" s="14"/>
    </row>
    <row r="23" spans="1:11" ht="12.75">
      <c r="A23" s="14">
        <v>12</v>
      </c>
      <c r="B23" s="224" t="s">
        <v>842</v>
      </c>
      <c r="C23" s="548">
        <v>1503</v>
      </c>
      <c r="D23" s="337">
        <v>1591.496</v>
      </c>
      <c r="E23" s="552">
        <v>1354</v>
      </c>
      <c r="F23" s="337">
        <v>1274.58</v>
      </c>
      <c r="G23" s="548">
        <v>38</v>
      </c>
      <c r="H23" s="337">
        <v>135.43100000000015</v>
      </c>
      <c r="I23" s="548">
        <f t="shared" si="0"/>
        <v>111</v>
      </c>
      <c r="J23" s="337">
        <f t="shared" si="1"/>
        <v>181.485</v>
      </c>
      <c r="K23" s="14"/>
    </row>
    <row r="24" spans="1:11" ht="12.75">
      <c r="A24" s="14">
        <v>13</v>
      </c>
      <c r="B24" s="224" t="s">
        <v>843</v>
      </c>
      <c r="C24" s="548">
        <v>748</v>
      </c>
      <c r="D24" s="337">
        <v>729</v>
      </c>
      <c r="E24" s="549">
        <v>544</v>
      </c>
      <c r="F24" s="550">
        <v>478.26</v>
      </c>
      <c r="G24" s="551">
        <v>0</v>
      </c>
      <c r="H24" s="550">
        <v>0</v>
      </c>
      <c r="I24" s="548">
        <f t="shared" si="0"/>
        <v>204</v>
      </c>
      <c r="J24" s="337">
        <f t="shared" si="1"/>
        <v>250.74</v>
      </c>
      <c r="K24" s="14"/>
    </row>
    <row r="25" spans="1:11" ht="12.75">
      <c r="A25" s="14">
        <v>14</v>
      </c>
      <c r="B25" s="224" t="s">
        <v>844</v>
      </c>
      <c r="C25" s="548">
        <v>771</v>
      </c>
      <c r="D25" s="337">
        <v>865.445</v>
      </c>
      <c r="E25" s="552">
        <v>602</v>
      </c>
      <c r="F25" s="552">
        <v>653.04</v>
      </c>
      <c r="G25" s="548">
        <v>65</v>
      </c>
      <c r="H25" s="337">
        <v>47.53999999999999</v>
      </c>
      <c r="I25" s="548">
        <f t="shared" si="0"/>
        <v>104</v>
      </c>
      <c r="J25" s="337">
        <f t="shared" si="1"/>
        <v>164.8650000000001</v>
      </c>
      <c r="K25" s="14"/>
    </row>
    <row r="26" spans="1:11" ht="12.75">
      <c r="A26" s="14">
        <v>15</v>
      </c>
      <c r="B26" s="224" t="s">
        <v>845</v>
      </c>
      <c r="C26" s="548">
        <v>1829</v>
      </c>
      <c r="D26" s="337">
        <v>2022.5980000000002</v>
      </c>
      <c r="E26" s="552">
        <v>1342</v>
      </c>
      <c r="F26" s="337">
        <v>1124.88</v>
      </c>
      <c r="G26" s="548">
        <v>156</v>
      </c>
      <c r="H26" s="337">
        <v>150.39999999999998</v>
      </c>
      <c r="I26" s="548">
        <f t="shared" si="0"/>
        <v>331</v>
      </c>
      <c r="J26" s="337">
        <f t="shared" si="1"/>
        <v>747.3180000000001</v>
      </c>
      <c r="K26" s="14"/>
    </row>
    <row r="27" spans="1:11" ht="12.75">
      <c r="A27" s="14">
        <v>16</v>
      </c>
      <c r="B27" s="224" t="s">
        <v>846</v>
      </c>
      <c r="C27" s="548">
        <v>3100</v>
      </c>
      <c r="D27" s="337">
        <v>3053.145</v>
      </c>
      <c r="E27" s="552">
        <v>1700</v>
      </c>
      <c r="F27" s="337">
        <v>1824.44</v>
      </c>
      <c r="G27" s="548">
        <v>630</v>
      </c>
      <c r="H27" s="337">
        <v>728.36</v>
      </c>
      <c r="I27" s="548">
        <f t="shared" si="0"/>
        <v>770</v>
      </c>
      <c r="J27" s="337">
        <f t="shared" si="1"/>
        <v>500.3449999999999</v>
      </c>
      <c r="K27" s="15"/>
    </row>
    <row r="28" spans="1:11" ht="12.75">
      <c r="A28" s="14">
        <v>17</v>
      </c>
      <c r="B28" s="224" t="s">
        <v>847</v>
      </c>
      <c r="C28" s="548">
        <v>1908</v>
      </c>
      <c r="D28" s="337">
        <v>1983.6</v>
      </c>
      <c r="E28" s="549">
        <v>1405</v>
      </c>
      <c r="F28" s="550">
        <v>1265.74</v>
      </c>
      <c r="G28" s="551">
        <v>69</v>
      </c>
      <c r="H28" s="550">
        <v>211.77999999999997</v>
      </c>
      <c r="I28" s="548">
        <f t="shared" si="0"/>
        <v>434</v>
      </c>
      <c r="J28" s="337">
        <f t="shared" si="1"/>
        <v>506.0799999999999</v>
      </c>
      <c r="K28" s="15"/>
    </row>
    <row r="29" spans="1:11" ht="12.75">
      <c r="A29" s="14">
        <v>18</v>
      </c>
      <c r="B29" s="224" t="s">
        <v>848</v>
      </c>
      <c r="C29" s="548">
        <v>1734</v>
      </c>
      <c r="D29" s="337">
        <v>2044.615</v>
      </c>
      <c r="E29" s="552">
        <v>882</v>
      </c>
      <c r="F29" s="337">
        <v>609.93</v>
      </c>
      <c r="G29" s="548">
        <v>0</v>
      </c>
      <c r="H29" s="337">
        <v>0.004999999999881766</v>
      </c>
      <c r="I29" s="548">
        <f t="shared" si="0"/>
        <v>852</v>
      </c>
      <c r="J29" s="337">
        <f t="shared" si="1"/>
        <v>1434.68</v>
      </c>
      <c r="K29" s="15">
        <v>808</v>
      </c>
    </row>
    <row r="30" spans="1:11" ht="12.75">
      <c r="A30" s="14">
        <v>19</v>
      </c>
      <c r="B30" s="224" t="s">
        <v>849</v>
      </c>
      <c r="C30" s="548">
        <v>2370</v>
      </c>
      <c r="D30" s="337">
        <v>2258.385</v>
      </c>
      <c r="E30" s="552">
        <v>2090</v>
      </c>
      <c r="F30" s="337">
        <v>1853.14</v>
      </c>
      <c r="G30" s="548">
        <v>28</v>
      </c>
      <c r="H30" s="337">
        <v>63.38</v>
      </c>
      <c r="I30" s="548">
        <f t="shared" si="0"/>
        <v>252</v>
      </c>
      <c r="J30" s="337">
        <f t="shared" si="1"/>
        <v>341.8650000000001</v>
      </c>
      <c r="K30" s="15"/>
    </row>
    <row r="31" spans="1:11" ht="12.75">
      <c r="A31" s="14">
        <v>20</v>
      </c>
      <c r="B31" s="224" t="s">
        <v>850</v>
      </c>
      <c r="C31" s="548">
        <v>1187</v>
      </c>
      <c r="D31" s="337">
        <v>1405.56</v>
      </c>
      <c r="E31" s="552">
        <v>890</v>
      </c>
      <c r="F31" s="337">
        <v>959.67</v>
      </c>
      <c r="G31" s="548">
        <v>12</v>
      </c>
      <c r="H31" s="337">
        <v>8.4</v>
      </c>
      <c r="I31" s="548">
        <f t="shared" si="0"/>
        <v>285</v>
      </c>
      <c r="J31" s="337">
        <f t="shared" si="1"/>
        <v>437.49</v>
      </c>
      <c r="K31" s="15"/>
    </row>
    <row r="32" spans="1:11" ht="12.75">
      <c r="A32" s="14">
        <v>21</v>
      </c>
      <c r="B32" s="224" t="s">
        <v>851</v>
      </c>
      <c r="C32" s="548">
        <v>1363</v>
      </c>
      <c r="D32" s="337">
        <v>1505.1</v>
      </c>
      <c r="E32" s="552">
        <v>815</v>
      </c>
      <c r="F32" s="337">
        <v>1094.58</v>
      </c>
      <c r="G32" s="548">
        <v>418</v>
      </c>
      <c r="H32" s="337">
        <v>308.09</v>
      </c>
      <c r="I32" s="548">
        <f t="shared" si="0"/>
        <v>130</v>
      </c>
      <c r="J32" s="337">
        <f t="shared" si="1"/>
        <v>102.43</v>
      </c>
      <c r="K32" s="15"/>
    </row>
    <row r="33" spans="1:11" ht="12.75">
      <c r="A33" s="14">
        <v>22</v>
      </c>
      <c r="B33" s="224" t="s">
        <v>852</v>
      </c>
      <c r="C33" s="548">
        <v>996</v>
      </c>
      <c r="D33" s="337">
        <v>1073.278</v>
      </c>
      <c r="E33" s="552">
        <v>858</v>
      </c>
      <c r="F33" s="337">
        <v>803.29</v>
      </c>
      <c r="G33" s="548">
        <v>33</v>
      </c>
      <c r="H33" s="337">
        <v>103.49000000000007</v>
      </c>
      <c r="I33" s="548">
        <f t="shared" si="0"/>
        <v>105</v>
      </c>
      <c r="J33" s="337">
        <f t="shared" si="1"/>
        <v>166.498</v>
      </c>
      <c r="K33" s="15"/>
    </row>
    <row r="34" spans="1:11" s="17" customFormat="1" ht="12.75">
      <c r="A34" s="516">
        <v>23</v>
      </c>
      <c r="B34" s="224" t="s">
        <v>853</v>
      </c>
      <c r="C34" s="548">
        <v>1722</v>
      </c>
      <c r="D34" s="337">
        <v>1730.97</v>
      </c>
      <c r="E34" s="552">
        <v>1234</v>
      </c>
      <c r="F34" s="337">
        <v>1219.82</v>
      </c>
      <c r="G34" s="548">
        <v>197</v>
      </c>
      <c r="H34" s="337">
        <v>167.66999999999996</v>
      </c>
      <c r="I34" s="548">
        <f t="shared" si="0"/>
        <v>291</v>
      </c>
      <c r="J34" s="337">
        <f t="shared" si="1"/>
        <v>343.48000000000013</v>
      </c>
      <c r="K34" s="15"/>
    </row>
    <row r="35" spans="1:11" s="17" customFormat="1" ht="12.75">
      <c r="A35" s="14">
        <v>24</v>
      </c>
      <c r="B35" s="224" t="s">
        <v>854</v>
      </c>
      <c r="C35" s="548">
        <v>2007</v>
      </c>
      <c r="D35" s="337">
        <v>2178.645</v>
      </c>
      <c r="E35" s="552">
        <v>1108</v>
      </c>
      <c r="F35" s="337">
        <v>1100.25</v>
      </c>
      <c r="G35" s="548">
        <v>794</v>
      </c>
      <c r="H35" s="337">
        <v>911.9</v>
      </c>
      <c r="I35" s="548">
        <f t="shared" si="0"/>
        <v>105</v>
      </c>
      <c r="J35" s="337">
        <f t="shared" si="1"/>
        <v>166.495</v>
      </c>
      <c r="K35" s="15"/>
    </row>
    <row r="36" spans="1:11" s="17" customFormat="1" ht="12.75">
      <c r="A36" s="560" t="s">
        <v>13</v>
      </c>
      <c r="B36" s="561"/>
      <c r="C36" s="553">
        <f>SUM(C12:C35)</f>
        <v>39001</v>
      </c>
      <c r="D36" s="243">
        <f aca="true" t="shared" si="2" ref="D36:J36">SUM(D12:D35)</f>
        <v>40845.488999999994</v>
      </c>
      <c r="E36" s="553">
        <f t="shared" si="2"/>
        <v>29012</v>
      </c>
      <c r="F36" s="243">
        <f t="shared" si="2"/>
        <v>27859.07</v>
      </c>
      <c r="G36" s="553">
        <f t="shared" si="2"/>
        <v>3987</v>
      </c>
      <c r="H36" s="243">
        <f t="shared" si="2"/>
        <v>4615.821000000001</v>
      </c>
      <c r="I36" s="553">
        <f t="shared" si="2"/>
        <v>6002</v>
      </c>
      <c r="J36" s="243">
        <f t="shared" si="2"/>
        <v>8370.598000000002</v>
      </c>
      <c r="K36" s="554"/>
    </row>
    <row r="37" s="17" customFormat="1" ht="12.75">
      <c r="A37" s="16" t="s">
        <v>35</v>
      </c>
    </row>
    <row r="38" spans="1:7" s="17" customFormat="1" ht="12.75">
      <c r="A38" s="16"/>
      <c r="G38" s="256"/>
    </row>
    <row r="39" s="17" customFormat="1" ht="12.75">
      <c r="A39" s="16"/>
    </row>
    <row r="40" s="17" customFormat="1" ht="12.75">
      <c r="A40" s="16"/>
    </row>
    <row r="41" spans="2:16" ht="13.5" customHeight="1">
      <c r="B41" s="68"/>
      <c r="C41" s="68"/>
      <c r="D41" s="68"/>
      <c r="E41" s="68"/>
      <c r="F41" s="68"/>
      <c r="G41" s="68"/>
      <c r="H41" s="68"/>
      <c r="I41" s="68"/>
      <c r="J41" s="68"/>
      <c r="K41" s="68"/>
      <c r="L41" s="68"/>
      <c r="M41" s="68"/>
      <c r="N41" s="68"/>
      <c r="O41" s="68"/>
      <c r="P41" s="68"/>
    </row>
    <row r="42" spans="1:16" ht="12.75" customHeight="1">
      <c r="A42" s="68"/>
      <c r="B42" s="68"/>
      <c r="C42" s="68"/>
      <c r="D42" s="68"/>
      <c r="E42" s="68"/>
      <c r="F42" s="68"/>
      <c r="G42" s="68"/>
      <c r="H42" s="68"/>
      <c r="I42" s="68"/>
      <c r="J42" s="68"/>
      <c r="K42" s="68"/>
      <c r="L42" s="68"/>
      <c r="M42" s="68"/>
      <c r="N42" s="68"/>
      <c r="O42" s="68"/>
      <c r="P42" s="68"/>
    </row>
    <row r="43" spans="1:16" ht="12.75" customHeight="1">
      <c r="A43" s="559" t="s">
        <v>989</v>
      </c>
      <c r="B43" s="559"/>
      <c r="C43" s="559"/>
      <c r="F43" s="559" t="s">
        <v>990</v>
      </c>
      <c r="G43" s="559"/>
      <c r="J43" s="559" t="s">
        <v>996</v>
      </c>
      <c r="K43" s="559"/>
      <c r="L43" s="68"/>
      <c r="M43" s="68"/>
      <c r="N43" s="68"/>
      <c r="O43" s="68"/>
      <c r="P43" s="68"/>
    </row>
    <row r="44" spans="1:11" ht="12.75">
      <c r="A44" s="559" t="s">
        <v>991</v>
      </c>
      <c r="B44" s="559"/>
      <c r="C44" s="559"/>
      <c r="F44" s="559" t="s">
        <v>992</v>
      </c>
      <c r="G44" s="559"/>
      <c r="J44" s="559" t="s">
        <v>993</v>
      </c>
      <c r="K44" s="559"/>
    </row>
    <row r="45" spans="1:11" ht="12.75">
      <c r="A45" s="559" t="s">
        <v>994</v>
      </c>
      <c r="B45" s="559"/>
      <c r="C45" s="559"/>
      <c r="F45" s="559" t="s">
        <v>995</v>
      </c>
      <c r="G45" s="559"/>
      <c r="J45" s="559" t="s">
        <v>995</v>
      </c>
      <c r="K45" s="559"/>
    </row>
    <row r="46" spans="1:10" ht="12.75">
      <c r="A46" s="687"/>
      <c r="B46" s="687"/>
      <c r="C46" s="687"/>
      <c r="D46" s="687"/>
      <c r="E46" s="687"/>
      <c r="F46" s="687"/>
      <c r="G46" s="687"/>
      <c r="H46" s="687"/>
      <c r="I46" s="687"/>
      <c r="J46" s="687"/>
    </row>
    <row r="51" spans="7:11" ht="12.75">
      <c r="G51" s="315">
        <v>4136</v>
      </c>
      <c r="H51" s="17"/>
      <c r="I51" s="315">
        <v>6033</v>
      </c>
      <c r="J51" s="17"/>
      <c r="K51" s="517">
        <f>D36-F36-H36-J36</f>
        <v>0</v>
      </c>
    </row>
    <row r="52" spans="7:11" ht="12.75">
      <c r="G52" s="256">
        <f>G36-G51</f>
        <v>-149</v>
      </c>
      <c r="H52" s="17"/>
      <c r="I52" s="256">
        <f>I51-I36</f>
        <v>31</v>
      </c>
      <c r="J52" s="17"/>
      <c r="K52" s="17"/>
    </row>
    <row r="54" spans="1:19" ht="30" customHeight="1">
      <c r="A54" s="685" t="s">
        <v>17</v>
      </c>
      <c r="B54" s="685" t="s">
        <v>31</v>
      </c>
      <c r="C54" s="574" t="s">
        <v>682</v>
      </c>
      <c r="D54" s="575"/>
      <c r="E54" s="574" t="s">
        <v>32</v>
      </c>
      <c r="F54" s="575"/>
      <c r="G54" s="574" t="s">
        <v>33</v>
      </c>
      <c r="H54" s="575"/>
      <c r="I54" s="573" t="s">
        <v>98</v>
      </c>
      <c r="J54" s="573"/>
      <c r="K54" s="685" t="s">
        <v>244</v>
      </c>
      <c r="R54" s="15"/>
      <c r="S54" s="17"/>
    </row>
    <row r="55" spans="1:11" s="11" customFormat="1" ht="42" customHeight="1">
      <c r="A55" s="686"/>
      <c r="B55" s="686"/>
      <c r="C55" s="5" t="s">
        <v>34</v>
      </c>
      <c r="D55" s="5" t="s">
        <v>97</v>
      </c>
      <c r="E55" s="5" t="s">
        <v>34</v>
      </c>
      <c r="F55" s="5" t="s">
        <v>97</v>
      </c>
      <c r="G55" s="5" t="s">
        <v>34</v>
      </c>
      <c r="H55" s="5" t="s">
        <v>97</v>
      </c>
      <c r="I55" s="5" t="s">
        <v>132</v>
      </c>
      <c r="J55" s="5" t="s">
        <v>133</v>
      </c>
      <c r="K55" s="686"/>
    </row>
    <row r="56" spans="1:11" ht="12.75">
      <c r="A56" s="112">
        <v>1</v>
      </c>
      <c r="B56" s="112">
        <v>2</v>
      </c>
      <c r="C56" s="112">
        <v>3</v>
      </c>
      <c r="D56" s="112">
        <v>4</v>
      </c>
      <c r="E56" s="112">
        <v>5</v>
      </c>
      <c r="F56" s="112">
        <v>6</v>
      </c>
      <c r="G56" s="112">
        <v>7</v>
      </c>
      <c r="H56" s="112">
        <v>8</v>
      </c>
      <c r="I56" s="112">
        <v>9</v>
      </c>
      <c r="J56" s="112">
        <v>10</v>
      </c>
      <c r="K56" s="3">
        <v>11</v>
      </c>
    </row>
    <row r="57" spans="1:11" ht="12.75">
      <c r="A57" s="14">
        <v>1</v>
      </c>
      <c r="B57" s="224" t="s">
        <v>831</v>
      </c>
      <c r="C57" s="247">
        <v>2578</v>
      </c>
      <c r="D57" s="248">
        <v>2844.925</v>
      </c>
      <c r="E57" s="252">
        <f>2495-61</f>
        <v>2434</v>
      </c>
      <c r="F57" s="253">
        <v>2652.11</v>
      </c>
      <c r="G57" s="254">
        <f>C57-I57-E57</f>
        <v>99</v>
      </c>
      <c r="H57" s="253">
        <f>D57-F57-J57</f>
        <v>61.56</v>
      </c>
      <c r="I57" s="247">
        <v>45</v>
      </c>
      <c r="J57" s="248">
        <v>131.25500000000005</v>
      </c>
      <c r="K57" s="14"/>
    </row>
    <row r="58" spans="1:11" ht="12.75">
      <c r="A58" s="14">
        <v>2</v>
      </c>
      <c r="B58" s="224" t="s">
        <v>832</v>
      </c>
      <c r="C58" s="247">
        <v>1021</v>
      </c>
      <c r="D58" s="248">
        <v>1095.945</v>
      </c>
      <c r="E58" s="249">
        <v>889</v>
      </c>
      <c r="F58" s="248">
        <v>884.7</v>
      </c>
      <c r="G58" s="254">
        <f aca="true" t="shared" si="3" ref="G58:G80">C58-I58-E58</f>
        <v>0</v>
      </c>
      <c r="H58" s="253">
        <f aca="true" t="shared" si="4" ref="H58:H80">D58-F58-J58</f>
        <v>0</v>
      </c>
      <c r="I58" s="247">
        <v>132</v>
      </c>
      <c r="J58" s="248">
        <v>211.2449999999999</v>
      </c>
      <c r="K58" s="14"/>
    </row>
    <row r="59" spans="1:11" ht="12.75">
      <c r="A59" s="14">
        <v>3</v>
      </c>
      <c r="B59" s="224" t="s">
        <v>833</v>
      </c>
      <c r="C59" s="247">
        <v>710</v>
      </c>
      <c r="D59" s="248">
        <v>771.99</v>
      </c>
      <c r="E59" s="249">
        <v>511</v>
      </c>
      <c r="F59" s="248">
        <v>542.315</v>
      </c>
      <c r="G59" s="254">
        <f t="shared" si="3"/>
        <v>0</v>
      </c>
      <c r="H59" s="253">
        <f t="shared" si="4"/>
        <v>0.004999999999967031</v>
      </c>
      <c r="I59" s="247">
        <v>199</v>
      </c>
      <c r="J59" s="248">
        <v>229.67</v>
      </c>
      <c r="K59" s="14"/>
    </row>
    <row r="60" spans="1:11" ht="12.75">
      <c r="A60" s="14">
        <v>4</v>
      </c>
      <c r="B60" s="224" t="s">
        <v>834</v>
      </c>
      <c r="C60" s="247">
        <v>1776</v>
      </c>
      <c r="D60" s="248">
        <v>1911.345</v>
      </c>
      <c r="E60" s="252">
        <v>1018</v>
      </c>
      <c r="F60" s="253">
        <v>967.88</v>
      </c>
      <c r="G60" s="254">
        <f t="shared" si="3"/>
        <v>255</v>
      </c>
      <c r="H60" s="253">
        <f t="shared" si="4"/>
        <v>475.31999999999994</v>
      </c>
      <c r="I60" s="247">
        <v>503</v>
      </c>
      <c r="J60" s="248">
        <v>468.1450000000001</v>
      </c>
      <c r="K60" s="14"/>
    </row>
    <row r="61" spans="1:11" ht="12.75">
      <c r="A61" s="14">
        <v>5</v>
      </c>
      <c r="B61" s="224" t="s">
        <v>835</v>
      </c>
      <c r="C61" s="247">
        <v>1025</v>
      </c>
      <c r="D61" s="248">
        <v>959.535</v>
      </c>
      <c r="E61" s="249">
        <v>920</v>
      </c>
      <c r="F61" s="248">
        <v>793.04</v>
      </c>
      <c r="G61" s="254">
        <f t="shared" si="3"/>
        <v>0</v>
      </c>
      <c r="H61" s="253">
        <f t="shared" si="4"/>
        <v>5.7000000000000455</v>
      </c>
      <c r="I61" s="247">
        <v>105</v>
      </c>
      <c r="J61" s="248">
        <v>160.79499999999996</v>
      </c>
      <c r="K61" s="14"/>
    </row>
    <row r="62" spans="1:11" ht="12.75">
      <c r="A62" s="14">
        <v>6</v>
      </c>
      <c r="B62" s="224" t="s">
        <v>836</v>
      </c>
      <c r="C62" s="247">
        <v>1897</v>
      </c>
      <c r="D62" s="248">
        <v>1870.235</v>
      </c>
      <c r="E62" s="249">
        <v>1620</v>
      </c>
      <c r="F62" s="248">
        <v>1419.81</v>
      </c>
      <c r="G62" s="254">
        <f t="shared" si="3"/>
        <v>74</v>
      </c>
      <c r="H62" s="253">
        <f t="shared" si="4"/>
        <v>61.00999999999999</v>
      </c>
      <c r="I62" s="247">
        <v>203</v>
      </c>
      <c r="J62" s="248">
        <v>389.41499999999996</v>
      </c>
      <c r="K62" s="14"/>
    </row>
    <row r="63" spans="1:11" ht="12.75">
      <c r="A63" s="14">
        <v>7</v>
      </c>
      <c r="B63" s="224" t="s">
        <v>837</v>
      </c>
      <c r="C63" s="247">
        <v>1578</v>
      </c>
      <c r="D63" s="248">
        <v>1613.52</v>
      </c>
      <c r="E63" s="249">
        <v>1174</v>
      </c>
      <c r="F63" s="248">
        <v>901.1</v>
      </c>
      <c r="G63" s="254">
        <f t="shared" si="3"/>
        <v>344</v>
      </c>
      <c r="H63" s="253">
        <f t="shared" si="4"/>
        <v>585.0799999999999</v>
      </c>
      <c r="I63" s="247">
        <v>60</v>
      </c>
      <c r="J63" s="248">
        <v>127.34000000000003</v>
      </c>
      <c r="K63" s="14"/>
    </row>
    <row r="64" spans="1:11" ht="12.75">
      <c r="A64" s="14">
        <v>8</v>
      </c>
      <c r="B64" s="224" t="s">
        <v>838</v>
      </c>
      <c r="C64" s="247">
        <v>2253</v>
      </c>
      <c r="D64" s="248">
        <v>2252.972</v>
      </c>
      <c r="E64" s="249">
        <v>1796</v>
      </c>
      <c r="F64" s="248">
        <v>1644.54</v>
      </c>
      <c r="G64" s="254">
        <f t="shared" si="3"/>
        <v>125</v>
      </c>
      <c r="H64" s="253">
        <f t="shared" si="4"/>
        <v>100.65999999999997</v>
      </c>
      <c r="I64" s="247">
        <v>332</v>
      </c>
      <c r="J64" s="248">
        <v>507.7720000000003</v>
      </c>
      <c r="K64" s="14"/>
    </row>
    <row r="65" spans="1:11" ht="12.75">
      <c r="A65" s="14">
        <v>9</v>
      </c>
      <c r="B65" s="224" t="s">
        <v>839</v>
      </c>
      <c r="C65" s="247">
        <v>2383</v>
      </c>
      <c r="D65" s="248">
        <v>2456.325</v>
      </c>
      <c r="E65" s="249">
        <v>2221</v>
      </c>
      <c r="F65" s="248">
        <v>2232.15</v>
      </c>
      <c r="G65" s="254">
        <f t="shared" si="3"/>
        <v>0</v>
      </c>
      <c r="H65" s="253">
        <f t="shared" si="4"/>
        <v>0</v>
      </c>
      <c r="I65" s="247">
        <v>162</v>
      </c>
      <c r="J65" s="248">
        <v>224.17499999999973</v>
      </c>
      <c r="K65" s="14"/>
    </row>
    <row r="66" spans="1:11" ht="12.75">
      <c r="A66" s="14">
        <v>10</v>
      </c>
      <c r="B66" s="224" t="s">
        <v>840</v>
      </c>
      <c r="C66" s="247">
        <v>1119</v>
      </c>
      <c r="D66" s="248">
        <v>1048.725</v>
      </c>
      <c r="E66" s="249">
        <v>436</v>
      </c>
      <c r="F66" s="249">
        <v>287.86</v>
      </c>
      <c r="G66" s="254">
        <f t="shared" si="3"/>
        <v>479</v>
      </c>
      <c r="H66" s="253">
        <f t="shared" si="4"/>
        <v>279</v>
      </c>
      <c r="I66" s="247">
        <v>204</v>
      </c>
      <c r="J66" s="248">
        <v>481.8649999999999</v>
      </c>
      <c r="K66" s="14"/>
    </row>
    <row r="67" spans="1:11" ht="12.75">
      <c r="A67" s="14">
        <v>11</v>
      </c>
      <c r="B67" s="224" t="s">
        <v>841</v>
      </c>
      <c r="C67" s="247">
        <v>1423</v>
      </c>
      <c r="D67" s="248">
        <v>1578.135</v>
      </c>
      <c r="E67" s="249">
        <v>1106</v>
      </c>
      <c r="F67" s="248">
        <v>1285.47</v>
      </c>
      <c r="G67" s="254">
        <f t="shared" si="3"/>
        <v>278</v>
      </c>
      <c r="H67" s="253">
        <f t="shared" si="4"/>
        <v>252.16</v>
      </c>
      <c r="I67" s="247">
        <v>39</v>
      </c>
      <c r="J67" s="248">
        <v>40.50499999999997</v>
      </c>
      <c r="K67" s="14"/>
    </row>
    <row r="68" spans="1:11" ht="12.75">
      <c r="A68" s="14">
        <v>12</v>
      </c>
      <c r="B68" s="224" t="s">
        <v>842</v>
      </c>
      <c r="C68" s="247">
        <v>1503</v>
      </c>
      <c r="D68" s="248">
        <v>1591.496</v>
      </c>
      <c r="E68" s="249">
        <v>1354</v>
      </c>
      <c r="F68" s="248">
        <v>1274.58</v>
      </c>
      <c r="G68" s="254">
        <f t="shared" si="3"/>
        <v>38</v>
      </c>
      <c r="H68" s="253">
        <f t="shared" si="4"/>
        <v>135.43100000000015</v>
      </c>
      <c r="I68" s="247">
        <v>111</v>
      </c>
      <c r="J68" s="248">
        <v>181.485</v>
      </c>
      <c r="K68" s="14"/>
    </row>
    <row r="69" spans="1:11" ht="12.75">
      <c r="A69" s="14">
        <v>13</v>
      </c>
      <c r="B69" s="224" t="s">
        <v>843</v>
      </c>
      <c r="C69" s="247">
        <v>748</v>
      </c>
      <c r="D69" s="248">
        <v>729</v>
      </c>
      <c r="E69" s="252">
        <v>544</v>
      </c>
      <c r="F69" s="253">
        <v>477.15</v>
      </c>
      <c r="G69" s="254">
        <f t="shared" si="3"/>
        <v>0</v>
      </c>
      <c r="H69" s="253">
        <f t="shared" si="4"/>
        <v>0</v>
      </c>
      <c r="I69" s="247">
        <v>204</v>
      </c>
      <c r="J69" s="248">
        <v>251.85000000000002</v>
      </c>
      <c r="K69" s="14"/>
    </row>
    <row r="70" spans="1:11" ht="12.75">
      <c r="A70" s="14">
        <v>14</v>
      </c>
      <c r="B70" s="224" t="s">
        <v>844</v>
      </c>
      <c r="C70" s="247">
        <v>771</v>
      </c>
      <c r="D70" s="248">
        <v>865.445</v>
      </c>
      <c r="E70" s="249">
        <v>602</v>
      </c>
      <c r="F70" s="249">
        <v>653.04</v>
      </c>
      <c r="G70" s="254">
        <f t="shared" si="3"/>
        <v>65</v>
      </c>
      <c r="H70" s="253">
        <f t="shared" si="4"/>
        <v>47.53999999999999</v>
      </c>
      <c r="I70" s="247">
        <v>104</v>
      </c>
      <c r="J70" s="248">
        <v>164.8650000000001</v>
      </c>
      <c r="K70" s="14"/>
    </row>
    <row r="71" spans="1:11" ht="12.75">
      <c r="A71" s="14">
        <v>15</v>
      </c>
      <c r="B71" s="224" t="s">
        <v>845</v>
      </c>
      <c r="C71" s="247">
        <v>1829</v>
      </c>
      <c r="D71" s="248">
        <v>2022.5980000000002</v>
      </c>
      <c r="E71" s="249">
        <v>1342</v>
      </c>
      <c r="F71" s="248">
        <v>1124.88</v>
      </c>
      <c r="G71" s="254">
        <f t="shared" si="3"/>
        <v>156</v>
      </c>
      <c r="H71" s="253">
        <f t="shared" si="4"/>
        <v>150.39999999999998</v>
      </c>
      <c r="I71" s="247">
        <v>331</v>
      </c>
      <c r="J71" s="248">
        <v>747.3180000000001</v>
      </c>
      <c r="K71" s="14"/>
    </row>
    <row r="72" spans="1:11" ht="12.75">
      <c r="A72" s="14">
        <v>16</v>
      </c>
      <c r="B72" s="224" t="s">
        <v>846</v>
      </c>
      <c r="C72" s="247">
        <v>3100</v>
      </c>
      <c r="D72" s="248">
        <v>3053.145</v>
      </c>
      <c r="E72" s="249">
        <v>1700</v>
      </c>
      <c r="F72" s="248">
        <v>1824.44</v>
      </c>
      <c r="G72" s="254">
        <f t="shared" si="3"/>
        <v>669</v>
      </c>
      <c r="H72" s="253">
        <f t="shared" si="4"/>
        <v>728.36</v>
      </c>
      <c r="I72" s="247">
        <v>731</v>
      </c>
      <c r="J72" s="248">
        <v>500.3449999999999</v>
      </c>
      <c r="K72" s="15"/>
    </row>
    <row r="73" spans="1:11" ht="12.75">
      <c r="A73" s="14">
        <v>17</v>
      </c>
      <c r="B73" s="224" t="s">
        <v>847</v>
      </c>
      <c r="C73" s="247">
        <v>1908</v>
      </c>
      <c r="D73" s="248">
        <v>1983.6</v>
      </c>
      <c r="E73" s="252">
        <v>1336</v>
      </c>
      <c r="F73" s="253">
        <v>1054.46</v>
      </c>
      <c r="G73" s="254">
        <f t="shared" si="3"/>
        <v>69</v>
      </c>
      <c r="H73" s="253">
        <f t="shared" si="4"/>
        <v>211.77999999999997</v>
      </c>
      <c r="I73" s="247">
        <v>503</v>
      </c>
      <c r="J73" s="248">
        <v>717.3599999999999</v>
      </c>
      <c r="K73" s="15"/>
    </row>
    <row r="74" spans="1:11" ht="12.75">
      <c r="A74" s="14">
        <v>18</v>
      </c>
      <c r="B74" s="224" t="s">
        <v>848</v>
      </c>
      <c r="C74" s="247">
        <v>1734</v>
      </c>
      <c r="D74" s="248">
        <v>2044.615</v>
      </c>
      <c r="E74" s="249">
        <v>882</v>
      </c>
      <c r="F74" s="248">
        <v>609.93</v>
      </c>
      <c r="G74" s="254">
        <f t="shared" si="3"/>
        <v>0</v>
      </c>
      <c r="H74" s="253">
        <f t="shared" si="4"/>
        <v>0.004999999999881766</v>
      </c>
      <c r="I74" s="247">
        <v>852</v>
      </c>
      <c r="J74" s="248">
        <v>1434.68</v>
      </c>
      <c r="K74" s="15">
        <v>808</v>
      </c>
    </row>
    <row r="75" spans="1:11" ht="12.75">
      <c r="A75" s="14">
        <v>19</v>
      </c>
      <c r="B75" s="224" t="s">
        <v>849</v>
      </c>
      <c r="C75" s="247">
        <v>2370</v>
      </c>
      <c r="D75" s="248">
        <v>2258.385</v>
      </c>
      <c r="E75" s="249">
        <v>2042</v>
      </c>
      <c r="F75" s="248">
        <v>1666.79</v>
      </c>
      <c r="G75" s="254">
        <f t="shared" si="3"/>
        <v>82</v>
      </c>
      <c r="H75" s="253">
        <f t="shared" si="4"/>
        <v>448.09999999999997</v>
      </c>
      <c r="I75" s="247">
        <v>246</v>
      </c>
      <c r="J75" s="248">
        <v>143.4950000000003</v>
      </c>
      <c r="K75" s="15"/>
    </row>
    <row r="76" spans="1:11" ht="12.75">
      <c r="A76" s="14">
        <v>20</v>
      </c>
      <c r="B76" s="224" t="s">
        <v>850</v>
      </c>
      <c r="C76" s="247">
        <v>1187</v>
      </c>
      <c r="D76" s="248">
        <v>1405.56</v>
      </c>
      <c r="E76" s="249">
        <v>890</v>
      </c>
      <c r="F76" s="248">
        <v>959.67</v>
      </c>
      <c r="G76" s="254">
        <f t="shared" si="3"/>
        <v>0</v>
      </c>
      <c r="H76" s="253">
        <f t="shared" si="4"/>
        <v>0</v>
      </c>
      <c r="I76" s="247">
        <v>297</v>
      </c>
      <c r="J76" s="248">
        <v>445.89</v>
      </c>
      <c r="K76" s="15"/>
    </row>
    <row r="77" spans="1:11" ht="12.75">
      <c r="A77" s="14">
        <v>21</v>
      </c>
      <c r="B77" s="224" t="s">
        <v>851</v>
      </c>
      <c r="C77" s="247">
        <v>1363</v>
      </c>
      <c r="D77" s="248">
        <v>1505.1</v>
      </c>
      <c r="E77" s="249">
        <v>815</v>
      </c>
      <c r="F77" s="248">
        <v>1094.58</v>
      </c>
      <c r="G77" s="254">
        <f t="shared" si="3"/>
        <v>418</v>
      </c>
      <c r="H77" s="253">
        <f t="shared" si="4"/>
        <v>308.09</v>
      </c>
      <c r="I77" s="247">
        <v>130</v>
      </c>
      <c r="J77" s="248">
        <v>102.43</v>
      </c>
      <c r="K77" s="15"/>
    </row>
    <row r="78" spans="1:11" ht="12.75">
      <c r="A78" s="14">
        <v>22</v>
      </c>
      <c r="B78" s="224" t="s">
        <v>852</v>
      </c>
      <c r="C78" s="247">
        <v>996</v>
      </c>
      <c r="D78" s="248">
        <v>1073.278</v>
      </c>
      <c r="E78" s="249">
        <v>858</v>
      </c>
      <c r="F78" s="248">
        <v>803.29</v>
      </c>
      <c r="G78" s="254">
        <f t="shared" si="3"/>
        <v>33</v>
      </c>
      <c r="H78" s="253">
        <f t="shared" si="4"/>
        <v>103.49000000000007</v>
      </c>
      <c r="I78" s="247">
        <v>105</v>
      </c>
      <c r="J78" s="248">
        <v>166.498</v>
      </c>
      <c r="K78" s="15"/>
    </row>
    <row r="79" spans="1:11" s="17" customFormat="1" ht="12.75">
      <c r="A79" s="14">
        <v>23</v>
      </c>
      <c r="B79" s="224" t="s">
        <v>853</v>
      </c>
      <c r="C79" s="247">
        <v>1722</v>
      </c>
      <c r="D79" s="248">
        <v>1730.97</v>
      </c>
      <c r="E79" s="249">
        <v>1234</v>
      </c>
      <c r="F79" s="248">
        <v>1219.82</v>
      </c>
      <c r="G79" s="254">
        <f t="shared" si="3"/>
        <v>197</v>
      </c>
      <c r="H79" s="253">
        <f t="shared" si="4"/>
        <v>167.66999999999996</v>
      </c>
      <c r="I79" s="247">
        <v>291</v>
      </c>
      <c r="J79" s="248">
        <v>343.48000000000013</v>
      </c>
      <c r="K79" s="15"/>
    </row>
    <row r="80" spans="1:11" s="17" customFormat="1" ht="12.75">
      <c r="A80" s="14">
        <v>24</v>
      </c>
      <c r="B80" s="224" t="s">
        <v>854</v>
      </c>
      <c r="C80" s="247">
        <v>2007</v>
      </c>
      <c r="D80" s="248">
        <v>2178.645</v>
      </c>
      <c r="E80" s="249">
        <v>1108</v>
      </c>
      <c r="F80" s="248">
        <v>1100.25</v>
      </c>
      <c r="G80" s="254">
        <f t="shared" si="3"/>
        <v>794</v>
      </c>
      <c r="H80" s="253">
        <f t="shared" si="4"/>
        <v>911.9</v>
      </c>
      <c r="I80" s="247">
        <v>105</v>
      </c>
      <c r="J80" s="248">
        <v>166.495</v>
      </c>
      <c r="K80" s="15"/>
    </row>
    <row r="81" spans="1:11" s="17" customFormat="1" ht="12.75">
      <c r="A81" s="560" t="s">
        <v>13</v>
      </c>
      <c r="B81" s="561"/>
      <c r="C81" s="250">
        <f>SUM(C57:C80)</f>
        <v>39001</v>
      </c>
      <c r="D81" s="251">
        <f aca="true" t="shared" si="5" ref="D81:J81">SUM(D57:D80)</f>
        <v>40845.488999999994</v>
      </c>
      <c r="E81" s="250">
        <f t="shared" si="5"/>
        <v>28832</v>
      </c>
      <c r="F81" s="251">
        <f t="shared" si="5"/>
        <v>27473.854999999996</v>
      </c>
      <c r="G81" s="250">
        <f t="shared" si="5"/>
        <v>4175</v>
      </c>
      <c r="H81" s="251">
        <f t="shared" si="5"/>
        <v>5033.261</v>
      </c>
      <c r="I81" s="250">
        <f t="shared" si="5"/>
        <v>5994</v>
      </c>
      <c r="J81" s="251">
        <f t="shared" si="5"/>
        <v>8338.373000000001</v>
      </c>
      <c r="K81" s="246"/>
    </row>
    <row r="84" ht="12.75">
      <c r="F84" s="259"/>
    </row>
    <row r="85" spans="1:19" ht="30" customHeight="1">
      <c r="A85" s="685" t="s">
        <v>17</v>
      </c>
      <c r="B85" s="685" t="s">
        <v>31</v>
      </c>
      <c r="C85" s="574" t="s">
        <v>682</v>
      </c>
      <c r="D85" s="575"/>
      <c r="E85" s="574" t="s">
        <v>32</v>
      </c>
      <c r="F85" s="575"/>
      <c r="G85" s="574" t="s">
        <v>33</v>
      </c>
      <c r="H85" s="575"/>
      <c r="I85" s="573" t="s">
        <v>98</v>
      </c>
      <c r="J85" s="573"/>
      <c r="K85" s="685" t="s">
        <v>244</v>
      </c>
      <c r="R85" s="15"/>
      <c r="S85" s="17"/>
    </row>
    <row r="86" spans="1:11" s="11" customFormat="1" ht="42" customHeight="1">
      <c r="A86" s="686"/>
      <c r="B86" s="686"/>
      <c r="C86" s="5" t="s">
        <v>34</v>
      </c>
      <c r="D86" s="5" t="s">
        <v>97</v>
      </c>
      <c r="E86" s="5" t="s">
        <v>34</v>
      </c>
      <c r="F86" s="5" t="s">
        <v>97</v>
      </c>
      <c r="G86" s="5" t="s">
        <v>34</v>
      </c>
      <c r="H86" s="5" t="s">
        <v>97</v>
      </c>
      <c r="I86" s="5" t="s">
        <v>132</v>
      </c>
      <c r="J86" s="5" t="s">
        <v>133</v>
      </c>
      <c r="K86" s="686"/>
    </row>
    <row r="87" spans="1:11" ht="12.75">
      <c r="A87" s="112">
        <v>1</v>
      </c>
      <c r="B87" s="112">
        <v>2</v>
      </c>
      <c r="C87" s="112">
        <v>3</v>
      </c>
      <c r="D87" s="112">
        <v>4</v>
      </c>
      <c r="E87" s="112">
        <v>5</v>
      </c>
      <c r="F87" s="112">
        <v>6</v>
      </c>
      <c r="G87" s="112">
        <v>7</v>
      </c>
      <c r="H87" s="112">
        <v>8</v>
      </c>
      <c r="I87" s="112">
        <v>9</v>
      </c>
      <c r="J87" s="112">
        <v>10</v>
      </c>
      <c r="K87" s="3">
        <v>11</v>
      </c>
    </row>
    <row r="88" spans="1:11" ht="12.75">
      <c r="A88" s="14">
        <v>1</v>
      </c>
      <c r="B88" s="224" t="s">
        <v>831</v>
      </c>
      <c r="C88" s="247">
        <v>2472</v>
      </c>
      <c r="D88" s="248">
        <v>2676.79</v>
      </c>
      <c r="E88" s="252">
        <f>2495-61</f>
        <v>2434</v>
      </c>
      <c r="F88" s="253">
        <v>2652.11</v>
      </c>
      <c r="G88" s="254">
        <v>38</v>
      </c>
      <c r="H88" s="253">
        <v>24.68</v>
      </c>
      <c r="I88" s="249">
        <f>C88-E88-G88</f>
        <v>0</v>
      </c>
      <c r="J88" s="248">
        <f>D88-F88-H88</f>
        <v>-1.6342482922482304E-13</v>
      </c>
      <c r="K88" s="14"/>
    </row>
    <row r="89" spans="1:11" ht="12.75">
      <c r="A89" s="14">
        <v>2</v>
      </c>
      <c r="B89" s="224" t="s">
        <v>832</v>
      </c>
      <c r="C89" s="247">
        <v>918</v>
      </c>
      <c r="D89" s="248">
        <v>931.6800000000001</v>
      </c>
      <c r="E89" s="249">
        <v>889</v>
      </c>
      <c r="F89" s="248">
        <v>884.7</v>
      </c>
      <c r="G89" s="249">
        <v>0</v>
      </c>
      <c r="H89" s="248">
        <v>0</v>
      </c>
      <c r="I89" s="249">
        <f aca="true" t="shared" si="6" ref="I89:I111">C89-E89-G89</f>
        <v>29</v>
      </c>
      <c r="J89" s="248">
        <f aca="true" t="shared" si="7" ref="J89:J111">D89-F89-H89</f>
        <v>46.98000000000002</v>
      </c>
      <c r="K89" s="14"/>
    </row>
    <row r="90" spans="1:11" ht="12.75">
      <c r="A90" s="14">
        <v>3</v>
      </c>
      <c r="B90" s="224" t="s">
        <v>833</v>
      </c>
      <c r="C90" s="247">
        <v>605</v>
      </c>
      <c r="D90" s="248">
        <v>605.4899999999999</v>
      </c>
      <c r="E90" s="249">
        <v>511</v>
      </c>
      <c r="F90" s="248">
        <v>542.315</v>
      </c>
      <c r="G90" s="249">
        <v>17</v>
      </c>
      <c r="H90" s="248">
        <v>16.98</v>
      </c>
      <c r="I90" s="249">
        <f t="shared" si="6"/>
        <v>77</v>
      </c>
      <c r="J90" s="248">
        <f t="shared" si="7"/>
        <v>46.19499999999984</v>
      </c>
      <c r="K90" s="14"/>
    </row>
    <row r="91" spans="1:11" ht="12.75">
      <c r="A91" s="14">
        <v>4</v>
      </c>
      <c r="B91" s="224" t="s">
        <v>834</v>
      </c>
      <c r="C91" s="247">
        <v>1606</v>
      </c>
      <c r="D91" s="248">
        <v>1705.8450000000003</v>
      </c>
      <c r="E91" s="252">
        <v>1018</v>
      </c>
      <c r="F91" s="253">
        <v>967.88</v>
      </c>
      <c r="G91" s="254">
        <v>588</v>
      </c>
      <c r="H91" s="253">
        <v>737.97</v>
      </c>
      <c r="I91" s="249">
        <f t="shared" si="6"/>
        <v>0</v>
      </c>
      <c r="J91" s="248">
        <f t="shared" si="7"/>
        <v>-0.004999999999768079</v>
      </c>
      <c r="K91" s="14"/>
    </row>
    <row r="92" spans="1:11" ht="12.75">
      <c r="A92" s="14">
        <v>5</v>
      </c>
      <c r="B92" s="224" t="s">
        <v>835</v>
      </c>
      <c r="C92" s="247">
        <v>920</v>
      </c>
      <c r="D92" s="248">
        <v>793.0350000000001</v>
      </c>
      <c r="E92" s="249">
        <v>920</v>
      </c>
      <c r="F92" s="248">
        <v>793.04</v>
      </c>
      <c r="G92" s="249">
        <v>0</v>
      </c>
      <c r="H92" s="248">
        <v>0</v>
      </c>
      <c r="I92" s="249">
        <f t="shared" si="6"/>
        <v>0</v>
      </c>
      <c r="J92" s="248">
        <f t="shared" si="7"/>
        <v>-0.004999999999881766</v>
      </c>
      <c r="K92" s="14"/>
    </row>
    <row r="93" spans="1:11" ht="12.75">
      <c r="A93" s="14">
        <v>6</v>
      </c>
      <c r="B93" s="224" t="s">
        <v>836</v>
      </c>
      <c r="C93" s="247">
        <v>1791</v>
      </c>
      <c r="D93" s="248">
        <v>1702.1000000000001</v>
      </c>
      <c r="E93" s="249">
        <v>1620</v>
      </c>
      <c r="F93" s="248">
        <v>1419.81</v>
      </c>
      <c r="G93" s="249">
        <v>0</v>
      </c>
      <c r="H93" s="248">
        <v>0</v>
      </c>
      <c r="I93" s="249">
        <f t="shared" si="6"/>
        <v>171</v>
      </c>
      <c r="J93" s="248">
        <f t="shared" si="7"/>
        <v>282.2900000000002</v>
      </c>
      <c r="K93" s="14"/>
    </row>
    <row r="94" spans="1:11" ht="12.75">
      <c r="A94" s="14">
        <v>7</v>
      </c>
      <c r="B94" s="224" t="s">
        <v>837</v>
      </c>
      <c r="C94" s="247">
        <v>1472</v>
      </c>
      <c r="D94" s="248">
        <v>1445.385</v>
      </c>
      <c r="E94" s="249">
        <v>1174</v>
      </c>
      <c r="F94" s="248">
        <v>901.1</v>
      </c>
      <c r="G94" s="249">
        <v>298</v>
      </c>
      <c r="H94" s="248">
        <v>544.29</v>
      </c>
      <c r="I94" s="249">
        <f t="shared" si="6"/>
        <v>0</v>
      </c>
      <c r="J94" s="248">
        <f t="shared" si="7"/>
        <v>-0.0049999999999954525</v>
      </c>
      <c r="K94" s="14"/>
    </row>
    <row r="95" spans="1:11" ht="12.75">
      <c r="A95" s="14">
        <v>8</v>
      </c>
      <c r="B95" s="224" t="s">
        <v>838</v>
      </c>
      <c r="C95" s="247">
        <v>2147</v>
      </c>
      <c r="D95" s="248">
        <v>2084.837</v>
      </c>
      <c r="E95" s="249">
        <v>1796</v>
      </c>
      <c r="F95" s="248">
        <v>1644.54</v>
      </c>
      <c r="G95" s="249">
        <v>125</v>
      </c>
      <c r="H95" s="248">
        <v>100.66</v>
      </c>
      <c r="I95" s="249">
        <f t="shared" si="6"/>
        <v>226</v>
      </c>
      <c r="J95" s="248">
        <f t="shared" si="7"/>
        <v>339.63700000000006</v>
      </c>
      <c r="K95" s="14"/>
    </row>
    <row r="96" spans="1:11" ht="12.75">
      <c r="A96" s="14">
        <v>9</v>
      </c>
      <c r="B96" s="224" t="s">
        <v>839</v>
      </c>
      <c r="C96" s="247">
        <v>2277</v>
      </c>
      <c r="D96" s="248">
        <v>2288.19</v>
      </c>
      <c r="E96" s="249">
        <v>2221</v>
      </c>
      <c r="F96" s="248">
        <v>2232.15</v>
      </c>
      <c r="G96" s="249">
        <v>0</v>
      </c>
      <c r="H96" s="248">
        <v>0</v>
      </c>
      <c r="I96" s="249">
        <f t="shared" si="6"/>
        <v>56</v>
      </c>
      <c r="J96" s="248">
        <f t="shared" si="7"/>
        <v>56.039999999999964</v>
      </c>
      <c r="K96" s="14"/>
    </row>
    <row r="97" spans="1:11" ht="12.75">
      <c r="A97" s="14">
        <v>10</v>
      </c>
      <c r="B97" s="224" t="s">
        <v>840</v>
      </c>
      <c r="C97" s="247">
        <v>1015</v>
      </c>
      <c r="D97" s="248">
        <v>883.86</v>
      </c>
      <c r="E97" s="249">
        <v>436</v>
      </c>
      <c r="F97" s="249">
        <v>287.86</v>
      </c>
      <c r="G97" s="249">
        <v>479</v>
      </c>
      <c r="H97" s="248">
        <v>279</v>
      </c>
      <c r="I97" s="249">
        <f t="shared" si="6"/>
        <v>100</v>
      </c>
      <c r="J97" s="248">
        <f t="shared" si="7"/>
        <v>317</v>
      </c>
      <c r="K97" s="14"/>
    </row>
    <row r="98" spans="1:11" ht="12.75">
      <c r="A98" s="14">
        <v>11</v>
      </c>
      <c r="B98" s="224" t="s">
        <v>841</v>
      </c>
      <c r="C98" s="247">
        <v>1319</v>
      </c>
      <c r="D98" s="248">
        <v>1413.27</v>
      </c>
      <c r="E98" s="249">
        <v>1106</v>
      </c>
      <c r="F98" s="248">
        <v>1285.47</v>
      </c>
      <c r="G98" s="249">
        <v>0</v>
      </c>
      <c r="H98" s="248">
        <v>0</v>
      </c>
      <c r="I98" s="249">
        <f t="shared" si="6"/>
        <v>213</v>
      </c>
      <c r="J98" s="248">
        <f t="shared" si="7"/>
        <v>127.79999999999995</v>
      </c>
      <c r="K98" s="14"/>
    </row>
    <row r="99" spans="1:11" ht="12.75">
      <c r="A99" s="14">
        <v>12</v>
      </c>
      <c r="B99" s="224" t="s">
        <v>842</v>
      </c>
      <c r="C99" s="247">
        <v>1397</v>
      </c>
      <c r="D99" s="248">
        <v>1423.361</v>
      </c>
      <c r="E99" s="249">
        <v>1354</v>
      </c>
      <c r="F99" s="248">
        <v>1274.58</v>
      </c>
      <c r="G99" s="249">
        <v>35</v>
      </c>
      <c r="H99" s="248">
        <f>59.02+79.78</f>
        <v>138.8</v>
      </c>
      <c r="I99" s="249">
        <f t="shared" si="6"/>
        <v>8</v>
      </c>
      <c r="J99" s="248">
        <f t="shared" si="7"/>
        <v>9.981000000000165</v>
      </c>
      <c r="K99" s="14"/>
    </row>
    <row r="100" spans="1:11" ht="12.75">
      <c r="A100" s="14">
        <v>13</v>
      </c>
      <c r="B100" s="224" t="s">
        <v>843</v>
      </c>
      <c r="C100" s="247">
        <v>621</v>
      </c>
      <c r="D100" s="248">
        <v>536.88</v>
      </c>
      <c r="E100" s="252">
        <v>544</v>
      </c>
      <c r="F100" s="253">
        <v>477.15</v>
      </c>
      <c r="G100" s="252">
        <v>0</v>
      </c>
      <c r="H100" s="253">
        <v>0</v>
      </c>
      <c r="I100" s="249">
        <f t="shared" si="6"/>
        <v>77</v>
      </c>
      <c r="J100" s="248">
        <f t="shared" si="7"/>
        <v>59.73000000000002</v>
      </c>
      <c r="K100" s="14"/>
    </row>
    <row r="101" spans="1:11" ht="12.75">
      <c r="A101" s="14">
        <v>14</v>
      </c>
      <c r="B101" s="224" t="s">
        <v>844</v>
      </c>
      <c r="C101" s="247">
        <v>667</v>
      </c>
      <c r="D101" s="248">
        <v>700.5799999999999</v>
      </c>
      <c r="E101" s="249">
        <v>602</v>
      </c>
      <c r="F101" s="249">
        <v>653.04</v>
      </c>
      <c r="G101" s="249">
        <v>65</v>
      </c>
      <c r="H101" s="249">
        <v>47.54</v>
      </c>
      <c r="I101" s="249">
        <f t="shared" si="6"/>
        <v>0</v>
      </c>
      <c r="J101" s="248">
        <f t="shared" si="7"/>
        <v>0</v>
      </c>
      <c r="K101" s="14"/>
    </row>
    <row r="102" spans="1:11" ht="12.75">
      <c r="A102" s="14">
        <v>15</v>
      </c>
      <c r="B102" s="224" t="s">
        <v>845</v>
      </c>
      <c r="C102" s="247">
        <v>1725</v>
      </c>
      <c r="D102" s="248">
        <v>1857.7330000000002</v>
      </c>
      <c r="E102" s="249">
        <v>1342</v>
      </c>
      <c r="F102" s="248">
        <v>1124.88</v>
      </c>
      <c r="G102" s="249">
        <v>156</v>
      </c>
      <c r="H102" s="248">
        <v>150.4</v>
      </c>
      <c r="I102" s="249">
        <f t="shared" si="6"/>
        <v>227</v>
      </c>
      <c r="J102" s="248">
        <f t="shared" si="7"/>
        <v>582.4530000000001</v>
      </c>
      <c r="K102" s="14"/>
    </row>
    <row r="103" spans="1:11" ht="12.75">
      <c r="A103" s="14">
        <v>16</v>
      </c>
      <c r="B103" s="224" t="s">
        <v>846</v>
      </c>
      <c r="C103" s="247">
        <v>2627</v>
      </c>
      <c r="D103" s="248">
        <v>2664.81</v>
      </c>
      <c r="E103" s="249">
        <v>1700</v>
      </c>
      <c r="F103" s="248">
        <v>1824.44</v>
      </c>
      <c r="G103" s="249">
        <v>321</v>
      </c>
      <c r="H103" s="248">
        <v>202.85</v>
      </c>
      <c r="I103" s="249">
        <f t="shared" si="6"/>
        <v>606</v>
      </c>
      <c r="J103" s="248">
        <f t="shared" si="7"/>
        <v>637.5199999999999</v>
      </c>
      <c r="K103" s="15"/>
    </row>
    <row r="104" spans="1:11" ht="12.75">
      <c r="A104" s="14">
        <v>17</v>
      </c>
      <c r="B104" s="224" t="s">
        <v>847</v>
      </c>
      <c r="C104" s="247">
        <v>1390</v>
      </c>
      <c r="D104" s="248">
        <v>1122.675</v>
      </c>
      <c r="E104" s="252">
        <v>1336</v>
      </c>
      <c r="F104" s="253">
        <v>1054.46</v>
      </c>
      <c r="G104" s="252">
        <v>54</v>
      </c>
      <c r="H104" s="253">
        <v>68.21</v>
      </c>
      <c r="I104" s="249">
        <f t="shared" si="6"/>
        <v>0</v>
      </c>
      <c r="J104" s="248">
        <f t="shared" si="7"/>
        <v>0.004999999999924398</v>
      </c>
      <c r="K104" s="15"/>
    </row>
    <row r="105" spans="1:11" ht="12.75">
      <c r="A105" s="14">
        <v>18</v>
      </c>
      <c r="B105" s="224" t="s">
        <v>848</v>
      </c>
      <c r="C105" s="247">
        <v>1628</v>
      </c>
      <c r="D105" s="248">
        <v>1876.4799999999998</v>
      </c>
      <c r="E105" s="249">
        <v>882</v>
      </c>
      <c r="F105" s="248">
        <v>609.93</v>
      </c>
      <c r="G105" s="249">
        <v>0</v>
      </c>
      <c r="H105" s="248">
        <v>0</v>
      </c>
      <c r="I105" s="249">
        <f t="shared" si="6"/>
        <v>746</v>
      </c>
      <c r="J105" s="248">
        <f t="shared" si="7"/>
        <v>1266.5499999999997</v>
      </c>
      <c r="K105" s="15">
        <v>808</v>
      </c>
    </row>
    <row r="106" spans="1:11" ht="12.75">
      <c r="A106" s="14">
        <v>19</v>
      </c>
      <c r="B106" s="224" t="s">
        <v>849</v>
      </c>
      <c r="C106" s="247">
        <v>2265</v>
      </c>
      <c r="D106" s="248">
        <v>2091.8849999999998</v>
      </c>
      <c r="E106" s="249">
        <v>2042</v>
      </c>
      <c r="F106" s="248">
        <v>1666.79</v>
      </c>
      <c r="G106" s="249">
        <v>88</v>
      </c>
      <c r="H106" s="248">
        <v>263.44</v>
      </c>
      <c r="I106" s="249">
        <f t="shared" si="6"/>
        <v>135</v>
      </c>
      <c r="J106" s="248">
        <f t="shared" si="7"/>
        <v>161.6549999999998</v>
      </c>
      <c r="K106" s="15"/>
    </row>
    <row r="107" spans="1:11" ht="12.75">
      <c r="A107" s="14">
        <v>20</v>
      </c>
      <c r="B107" s="224" t="s">
        <v>850</v>
      </c>
      <c r="C107" s="247">
        <v>1082</v>
      </c>
      <c r="D107" s="248">
        <v>1239.06</v>
      </c>
      <c r="E107" s="249">
        <v>890</v>
      </c>
      <c r="F107" s="248">
        <v>959.67</v>
      </c>
      <c r="G107" s="249">
        <v>12</v>
      </c>
      <c r="H107" s="248">
        <v>35.52</v>
      </c>
      <c r="I107" s="249">
        <f t="shared" si="6"/>
        <v>180</v>
      </c>
      <c r="J107" s="248">
        <f t="shared" si="7"/>
        <v>243.86999999999998</v>
      </c>
      <c r="K107" s="15"/>
    </row>
    <row r="108" spans="1:11" ht="12.75">
      <c r="A108" s="14">
        <v>21</v>
      </c>
      <c r="B108" s="224" t="s">
        <v>851</v>
      </c>
      <c r="C108" s="247">
        <v>1258</v>
      </c>
      <c r="D108" s="248">
        <v>1338.6000000000001</v>
      </c>
      <c r="E108" s="249">
        <v>815</v>
      </c>
      <c r="F108" s="248">
        <v>1094.58</v>
      </c>
      <c r="G108" s="249">
        <v>72</v>
      </c>
      <c r="H108" s="248">
        <v>104.44</v>
      </c>
      <c r="I108" s="249">
        <f t="shared" si="6"/>
        <v>371</v>
      </c>
      <c r="J108" s="248">
        <f t="shared" si="7"/>
        <v>139.5800000000002</v>
      </c>
      <c r="K108" s="15"/>
    </row>
    <row r="109" spans="1:11" ht="12.75">
      <c r="A109" s="14">
        <v>22</v>
      </c>
      <c r="B109" s="224" t="s">
        <v>852</v>
      </c>
      <c r="C109" s="247">
        <v>891</v>
      </c>
      <c r="D109" s="248">
        <v>906.778</v>
      </c>
      <c r="E109" s="249">
        <v>858</v>
      </c>
      <c r="F109" s="248">
        <v>803.29</v>
      </c>
      <c r="G109" s="249">
        <v>33</v>
      </c>
      <c r="H109" s="248">
        <v>103.49</v>
      </c>
      <c r="I109" s="249">
        <f t="shared" si="6"/>
        <v>0</v>
      </c>
      <c r="J109" s="248">
        <f t="shared" si="7"/>
        <v>-0.0019999999999384954</v>
      </c>
      <c r="K109" s="15"/>
    </row>
    <row r="110" spans="1:11" s="17" customFormat="1" ht="12.75">
      <c r="A110" s="14">
        <v>23</v>
      </c>
      <c r="B110" s="224" t="s">
        <v>853</v>
      </c>
      <c r="C110" s="247">
        <v>1506</v>
      </c>
      <c r="D110" s="248">
        <v>1407.4569999999999</v>
      </c>
      <c r="E110" s="249">
        <v>1234</v>
      </c>
      <c r="F110" s="248">
        <v>1219.82</v>
      </c>
      <c r="G110" s="249">
        <v>197</v>
      </c>
      <c r="H110" s="248">
        <v>167.67</v>
      </c>
      <c r="I110" s="249">
        <f t="shared" si="6"/>
        <v>75</v>
      </c>
      <c r="J110" s="248">
        <f t="shared" si="7"/>
        <v>19.966999999999956</v>
      </c>
      <c r="K110" s="15"/>
    </row>
    <row r="111" spans="1:11" s="17" customFormat="1" ht="12.75">
      <c r="A111" s="14">
        <v>24</v>
      </c>
      <c r="B111" s="224" t="s">
        <v>854</v>
      </c>
      <c r="C111" s="247">
        <v>1902</v>
      </c>
      <c r="D111" s="248">
        <v>2012.145</v>
      </c>
      <c r="E111" s="249">
        <v>1108</v>
      </c>
      <c r="F111" s="248">
        <v>1100.25</v>
      </c>
      <c r="G111" s="249">
        <v>794</v>
      </c>
      <c r="H111" s="248">
        <v>911.9</v>
      </c>
      <c r="I111" s="249">
        <f t="shared" si="6"/>
        <v>0</v>
      </c>
      <c r="J111" s="248">
        <f t="shared" si="7"/>
        <v>-0.0049999999999954525</v>
      </c>
      <c r="K111" s="15"/>
    </row>
    <row r="112" spans="1:11" s="17" customFormat="1" ht="12.75">
      <c r="A112" s="560" t="s">
        <v>13</v>
      </c>
      <c r="B112" s="561"/>
      <c r="C112" s="250">
        <f>SUM(C88:C111)</f>
        <v>35501</v>
      </c>
      <c r="D112" s="251">
        <f aca="true" t="shared" si="8" ref="D112:J112">SUM(D88:D111)</f>
        <v>35708.92599999999</v>
      </c>
      <c r="E112" s="250">
        <f t="shared" si="8"/>
        <v>28832</v>
      </c>
      <c r="F112" s="251">
        <f t="shared" si="8"/>
        <v>27473.854999999996</v>
      </c>
      <c r="G112" s="250">
        <f t="shared" si="8"/>
        <v>3372</v>
      </c>
      <c r="H112" s="251">
        <f t="shared" si="8"/>
        <v>3897.84</v>
      </c>
      <c r="I112" s="250">
        <f t="shared" si="8"/>
        <v>3297</v>
      </c>
      <c r="J112" s="251">
        <f t="shared" si="8"/>
        <v>4337.231000000001</v>
      </c>
      <c r="K112" s="246"/>
    </row>
    <row r="113" ht="12.75">
      <c r="G113" s="258"/>
    </row>
  </sheetData>
  <sheetProtection/>
  <mergeCells count="43">
    <mergeCell ref="E9:F9"/>
    <mergeCell ref="C9:D9"/>
    <mergeCell ref="I1:J1"/>
    <mergeCell ref="G9:H9"/>
    <mergeCell ref="J43:K43"/>
    <mergeCell ref="A44:C44"/>
    <mergeCell ref="I9:J9"/>
    <mergeCell ref="I7:K7"/>
    <mergeCell ref="A7:B7"/>
    <mergeCell ref="A3:K3"/>
    <mergeCell ref="D1:E1"/>
    <mergeCell ref="A9:A10"/>
    <mergeCell ref="C54:D54"/>
    <mergeCell ref="E54:F54"/>
    <mergeCell ref="A43:C43"/>
    <mergeCell ref="F43:G43"/>
    <mergeCell ref="F44:G44"/>
    <mergeCell ref="A5:K5"/>
    <mergeCell ref="B9:B10"/>
    <mergeCell ref="A2:K2"/>
    <mergeCell ref="A112:B112"/>
    <mergeCell ref="K54:K55"/>
    <mergeCell ref="A81:B81"/>
    <mergeCell ref="A85:A86"/>
    <mergeCell ref="B85:B86"/>
    <mergeCell ref="C85:D85"/>
    <mergeCell ref="E85:F85"/>
    <mergeCell ref="A45:C45"/>
    <mergeCell ref="F45:G45"/>
    <mergeCell ref="J45:K45"/>
    <mergeCell ref="I85:J85"/>
    <mergeCell ref="K85:K86"/>
    <mergeCell ref="G85:H85"/>
    <mergeCell ref="K9:K10"/>
    <mergeCell ref="C8:J8"/>
    <mergeCell ref="E7:H7"/>
    <mergeCell ref="G54:H54"/>
    <mergeCell ref="I54:J54"/>
    <mergeCell ref="A36:B36"/>
    <mergeCell ref="A54:A55"/>
    <mergeCell ref="B54:B55"/>
    <mergeCell ref="A46:J46"/>
    <mergeCell ref="J44:K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S45"/>
  <sheetViews>
    <sheetView view="pageBreakPreview" zoomScale="70" zoomScaleSheetLayoutView="70" zoomScalePageLayoutView="0" workbookViewId="0" topLeftCell="A1">
      <selection activeCell="G12" sqref="G12:G35"/>
    </sheetView>
  </sheetViews>
  <sheetFormatPr defaultColWidth="9.140625" defaultRowHeight="12.75"/>
  <cols>
    <col min="1" max="1" width="9.140625" style="12" customWidth="1"/>
    <col min="2" max="2" width="19.00390625" style="12" customWidth="1"/>
    <col min="3" max="3" width="15.140625" style="12" customWidth="1"/>
    <col min="4" max="4" width="15.8515625" style="12" customWidth="1"/>
    <col min="5" max="5" width="9.8515625" style="12" customWidth="1"/>
    <col min="6" max="6" width="13.57421875" style="12" customWidth="1"/>
    <col min="7" max="7" width="9.7109375" style="12" customWidth="1"/>
    <col min="8" max="8" width="10.421875" style="12" customWidth="1"/>
    <col min="9" max="9" width="15.28125" style="12" customWidth="1"/>
    <col min="10" max="10" width="19.28125" style="12" customWidth="1"/>
    <col min="11" max="11" width="15.00390625" style="12" customWidth="1"/>
    <col min="12" max="16384" width="9.140625" style="12" customWidth="1"/>
  </cols>
  <sheetData>
    <row r="1" spans="4:11" ht="22.5" customHeight="1">
      <c r="D1" s="594"/>
      <c r="E1" s="594"/>
      <c r="H1" s="36"/>
      <c r="J1" s="681" t="s">
        <v>63</v>
      </c>
      <c r="K1" s="681"/>
    </row>
    <row r="2" spans="1:11" ht="15">
      <c r="A2" s="817" t="s">
        <v>0</v>
      </c>
      <c r="B2" s="817"/>
      <c r="C2" s="817"/>
      <c r="D2" s="817"/>
      <c r="E2" s="817"/>
      <c r="F2" s="817"/>
      <c r="G2" s="817"/>
      <c r="H2" s="817"/>
      <c r="I2" s="817"/>
      <c r="J2" s="817"/>
      <c r="K2" s="817"/>
    </row>
    <row r="3" spans="1:11" ht="15">
      <c r="A3" s="817" t="s">
        <v>645</v>
      </c>
      <c r="B3" s="817"/>
      <c r="C3" s="817"/>
      <c r="D3" s="817"/>
      <c r="E3" s="817"/>
      <c r="F3" s="817"/>
      <c r="G3" s="817"/>
      <c r="H3" s="817"/>
      <c r="I3" s="817"/>
      <c r="J3" s="817"/>
      <c r="K3" s="817"/>
    </row>
    <row r="4" ht="10.5" customHeight="1"/>
    <row r="5" spans="1:12" ht="15.75" customHeight="1">
      <c r="A5" s="817" t="s">
        <v>441</v>
      </c>
      <c r="B5" s="817"/>
      <c r="C5" s="817"/>
      <c r="D5" s="817"/>
      <c r="E5" s="817"/>
      <c r="F5" s="817"/>
      <c r="G5" s="817"/>
      <c r="H5" s="817"/>
      <c r="I5" s="817"/>
      <c r="J5" s="817"/>
      <c r="K5" s="817"/>
      <c r="L5" s="371"/>
    </row>
    <row r="6" spans="1:10" ht="15.75" customHeight="1">
      <c r="A6" s="39"/>
      <c r="B6" s="39"/>
      <c r="C6" s="39"/>
      <c r="D6" s="39"/>
      <c r="E6" s="39"/>
      <c r="F6" s="39"/>
      <c r="G6" s="39"/>
      <c r="H6" s="39"/>
      <c r="I6" s="39"/>
      <c r="J6" s="39"/>
    </row>
    <row r="7" spans="1:11" ht="12.75">
      <c r="A7" s="593" t="s">
        <v>157</v>
      </c>
      <c r="B7" s="593"/>
      <c r="I7" s="815" t="s">
        <v>988</v>
      </c>
      <c r="J7" s="815"/>
      <c r="K7" s="815"/>
    </row>
    <row r="8" spans="3:10" s="10" customFormat="1" ht="15.75">
      <c r="C8" s="684" t="s">
        <v>10</v>
      </c>
      <c r="D8" s="684"/>
      <c r="E8" s="684"/>
      <c r="F8" s="684"/>
      <c r="G8" s="684"/>
      <c r="H8" s="684"/>
      <c r="I8" s="684"/>
      <c r="J8" s="684"/>
    </row>
    <row r="9" spans="1:19" ht="30" customHeight="1">
      <c r="A9" s="685" t="s">
        <v>17</v>
      </c>
      <c r="B9" s="685" t="s">
        <v>31</v>
      </c>
      <c r="C9" s="574" t="s">
        <v>683</v>
      </c>
      <c r="D9" s="575"/>
      <c r="E9" s="574" t="s">
        <v>482</v>
      </c>
      <c r="F9" s="575"/>
      <c r="G9" s="574" t="s">
        <v>33</v>
      </c>
      <c r="H9" s="575"/>
      <c r="I9" s="573" t="s">
        <v>98</v>
      </c>
      <c r="J9" s="573"/>
      <c r="K9" s="685" t="s">
        <v>245</v>
      </c>
      <c r="R9" s="15"/>
      <c r="S9" s="17"/>
    </row>
    <row r="10" spans="1:11" s="11" customFormat="1" ht="46.5" customHeight="1">
      <c r="A10" s="686"/>
      <c r="B10" s="686"/>
      <c r="C10" s="5" t="s">
        <v>34</v>
      </c>
      <c r="D10" s="5" t="s">
        <v>97</v>
      </c>
      <c r="E10" s="5" t="s">
        <v>34</v>
      </c>
      <c r="F10" s="5" t="s">
        <v>97</v>
      </c>
      <c r="G10" s="5" t="s">
        <v>34</v>
      </c>
      <c r="H10" s="5" t="s">
        <v>97</v>
      </c>
      <c r="I10" s="5" t="s">
        <v>132</v>
      </c>
      <c r="J10" s="5" t="s">
        <v>133</v>
      </c>
      <c r="K10" s="686"/>
    </row>
    <row r="11" spans="1:11" ht="12.75">
      <c r="A11" s="14">
        <v>1</v>
      </c>
      <c r="B11" s="14">
        <v>2</v>
      </c>
      <c r="C11" s="14">
        <v>3</v>
      </c>
      <c r="D11" s="14">
        <v>4</v>
      </c>
      <c r="E11" s="14">
        <v>5</v>
      </c>
      <c r="F11" s="14">
        <v>6</v>
      </c>
      <c r="G11" s="14">
        <v>7</v>
      </c>
      <c r="H11" s="14">
        <v>8</v>
      </c>
      <c r="I11" s="14">
        <v>9</v>
      </c>
      <c r="J11" s="14">
        <v>10</v>
      </c>
      <c r="K11" s="14">
        <v>11</v>
      </c>
    </row>
    <row r="12" spans="1:11" ht="12.75">
      <c r="A12" s="14">
        <v>1</v>
      </c>
      <c r="B12" s="224" t="s">
        <v>831</v>
      </c>
      <c r="C12" s="513">
        <v>2532</v>
      </c>
      <c r="D12" s="514">
        <f>C12*5000/100000</f>
        <v>126.6</v>
      </c>
      <c r="E12" s="513">
        <v>2532</v>
      </c>
      <c r="F12" s="514">
        <f>E12*5000/100000</f>
        <v>126.6</v>
      </c>
      <c r="G12" s="513">
        <v>0</v>
      </c>
      <c r="H12" s="514">
        <v>0</v>
      </c>
      <c r="I12" s="513">
        <v>0</v>
      </c>
      <c r="J12" s="514">
        <v>0</v>
      </c>
      <c r="K12" s="515">
        <v>0</v>
      </c>
    </row>
    <row r="13" spans="1:11" ht="12.75">
      <c r="A13" s="14">
        <v>2</v>
      </c>
      <c r="B13" s="224" t="s">
        <v>832</v>
      </c>
      <c r="C13" s="513">
        <v>413</v>
      </c>
      <c r="D13" s="514">
        <f aca="true" t="shared" si="0" ref="D13:D35">C13*5000/100000</f>
        <v>20.65</v>
      </c>
      <c r="E13" s="513">
        <v>413</v>
      </c>
      <c r="F13" s="514">
        <f aca="true" t="shared" si="1" ref="F13:F35">E13*5000/100000</f>
        <v>20.65</v>
      </c>
      <c r="G13" s="513">
        <v>0</v>
      </c>
      <c r="H13" s="514">
        <v>0</v>
      </c>
      <c r="I13" s="513">
        <v>0</v>
      </c>
      <c r="J13" s="514">
        <v>0</v>
      </c>
      <c r="K13" s="515">
        <v>0</v>
      </c>
    </row>
    <row r="14" spans="1:11" ht="12.75">
      <c r="A14" s="14">
        <v>3</v>
      </c>
      <c r="B14" s="224" t="s">
        <v>833</v>
      </c>
      <c r="C14" s="513">
        <v>748</v>
      </c>
      <c r="D14" s="514">
        <f t="shared" si="0"/>
        <v>37.4</v>
      </c>
      <c r="E14" s="513">
        <v>748</v>
      </c>
      <c r="F14" s="514">
        <f t="shared" si="1"/>
        <v>37.4</v>
      </c>
      <c r="G14" s="513">
        <v>0</v>
      </c>
      <c r="H14" s="514">
        <v>0</v>
      </c>
      <c r="I14" s="513">
        <v>0</v>
      </c>
      <c r="J14" s="514">
        <v>0</v>
      </c>
      <c r="K14" s="515">
        <v>0</v>
      </c>
    </row>
    <row r="15" spans="1:11" ht="13.5" customHeight="1">
      <c r="A15" s="14">
        <v>4</v>
      </c>
      <c r="B15" s="224" t="s">
        <v>834</v>
      </c>
      <c r="C15" s="513">
        <v>1073</v>
      </c>
      <c r="D15" s="514">
        <f t="shared" si="0"/>
        <v>53.65</v>
      </c>
      <c r="E15" s="513">
        <v>1073</v>
      </c>
      <c r="F15" s="514">
        <f t="shared" si="1"/>
        <v>53.65</v>
      </c>
      <c r="G15" s="513">
        <v>0</v>
      </c>
      <c r="H15" s="514">
        <v>0</v>
      </c>
      <c r="I15" s="513">
        <v>0</v>
      </c>
      <c r="J15" s="514">
        <v>0</v>
      </c>
      <c r="K15" s="515">
        <v>0</v>
      </c>
    </row>
    <row r="16" spans="1:11" ht="12.75">
      <c r="A16" s="14">
        <v>5</v>
      </c>
      <c r="B16" s="224" t="s">
        <v>835</v>
      </c>
      <c r="C16" s="513">
        <v>1111</v>
      </c>
      <c r="D16" s="514">
        <f t="shared" si="0"/>
        <v>55.55</v>
      </c>
      <c r="E16" s="513">
        <v>1111</v>
      </c>
      <c r="F16" s="514">
        <f t="shared" si="1"/>
        <v>55.55</v>
      </c>
      <c r="G16" s="513">
        <v>0</v>
      </c>
      <c r="H16" s="514">
        <v>0</v>
      </c>
      <c r="I16" s="513">
        <v>0</v>
      </c>
      <c r="J16" s="514">
        <v>0</v>
      </c>
      <c r="K16" s="515">
        <v>0</v>
      </c>
    </row>
    <row r="17" spans="1:11" ht="12.75">
      <c r="A17" s="14">
        <v>6</v>
      </c>
      <c r="B17" s="224" t="s">
        <v>836</v>
      </c>
      <c r="C17" s="513">
        <v>1288</v>
      </c>
      <c r="D17" s="514">
        <f t="shared" si="0"/>
        <v>64.4</v>
      </c>
      <c r="E17" s="513">
        <v>1288</v>
      </c>
      <c r="F17" s="514">
        <f t="shared" si="1"/>
        <v>64.4</v>
      </c>
      <c r="G17" s="513">
        <v>0</v>
      </c>
      <c r="H17" s="514">
        <v>0</v>
      </c>
      <c r="I17" s="513">
        <v>0</v>
      </c>
      <c r="J17" s="514">
        <v>0</v>
      </c>
      <c r="K17" s="515">
        <v>0</v>
      </c>
    </row>
    <row r="18" spans="1:11" ht="12.75">
      <c r="A18" s="14">
        <v>7</v>
      </c>
      <c r="B18" s="224" t="s">
        <v>837</v>
      </c>
      <c r="C18" s="513">
        <v>1194</v>
      </c>
      <c r="D18" s="514">
        <f t="shared" si="0"/>
        <v>59.7</v>
      </c>
      <c r="E18" s="513">
        <v>1194</v>
      </c>
      <c r="F18" s="514">
        <f t="shared" si="1"/>
        <v>59.7</v>
      </c>
      <c r="G18" s="513">
        <v>0</v>
      </c>
      <c r="H18" s="514">
        <v>0</v>
      </c>
      <c r="I18" s="513">
        <v>0</v>
      </c>
      <c r="J18" s="514">
        <v>0</v>
      </c>
      <c r="K18" s="515">
        <v>0</v>
      </c>
    </row>
    <row r="19" spans="1:11" ht="12.75">
      <c r="A19" s="14">
        <v>8</v>
      </c>
      <c r="B19" s="224" t="s">
        <v>838</v>
      </c>
      <c r="C19" s="513">
        <v>2581</v>
      </c>
      <c r="D19" s="514">
        <f t="shared" si="0"/>
        <v>129.05</v>
      </c>
      <c r="E19" s="513">
        <v>2581</v>
      </c>
      <c r="F19" s="514">
        <f t="shared" si="1"/>
        <v>129.05</v>
      </c>
      <c r="G19" s="513">
        <v>0</v>
      </c>
      <c r="H19" s="514">
        <v>0</v>
      </c>
      <c r="I19" s="513">
        <v>0</v>
      </c>
      <c r="J19" s="514">
        <v>0</v>
      </c>
      <c r="K19" s="515">
        <v>0</v>
      </c>
    </row>
    <row r="20" spans="1:11" ht="12.75">
      <c r="A20" s="14">
        <v>9</v>
      </c>
      <c r="B20" s="224" t="s">
        <v>839</v>
      </c>
      <c r="C20" s="513">
        <v>2304</v>
      </c>
      <c r="D20" s="514">
        <f t="shared" si="0"/>
        <v>115.2</v>
      </c>
      <c r="E20" s="513">
        <v>2304</v>
      </c>
      <c r="F20" s="514">
        <f t="shared" si="1"/>
        <v>115.2</v>
      </c>
      <c r="G20" s="513">
        <v>0</v>
      </c>
      <c r="H20" s="514">
        <v>0</v>
      </c>
      <c r="I20" s="513">
        <v>0</v>
      </c>
      <c r="J20" s="514">
        <v>0</v>
      </c>
      <c r="K20" s="515">
        <v>0</v>
      </c>
    </row>
    <row r="21" spans="1:11" ht="12.75">
      <c r="A21" s="14">
        <v>10</v>
      </c>
      <c r="B21" s="224" t="s">
        <v>840</v>
      </c>
      <c r="C21" s="513">
        <v>1320</v>
      </c>
      <c r="D21" s="514">
        <f t="shared" si="0"/>
        <v>66</v>
      </c>
      <c r="E21" s="513">
        <v>1320</v>
      </c>
      <c r="F21" s="514">
        <f t="shared" si="1"/>
        <v>66</v>
      </c>
      <c r="G21" s="513">
        <v>0</v>
      </c>
      <c r="H21" s="514">
        <v>0</v>
      </c>
      <c r="I21" s="513">
        <v>0</v>
      </c>
      <c r="J21" s="514">
        <v>0</v>
      </c>
      <c r="K21" s="515">
        <v>0</v>
      </c>
    </row>
    <row r="22" spans="1:11" ht="12.75">
      <c r="A22" s="14">
        <v>11</v>
      </c>
      <c r="B22" s="224" t="s">
        <v>841</v>
      </c>
      <c r="C22" s="513">
        <v>1258</v>
      </c>
      <c r="D22" s="514">
        <f t="shared" si="0"/>
        <v>62.9</v>
      </c>
      <c r="E22" s="513">
        <v>1258</v>
      </c>
      <c r="F22" s="514">
        <f t="shared" si="1"/>
        <v>62.9</v>
      </c>
      <c r="G22" s="513">
        <v>0</v>
      </c>
      <c r="H22" s="514">
        <v>0</v>
      </c>
      <c r="I22" s="513">
        <v>0</v>
      </c>
      <c r="J22" s="514">
        <v>0</v>
      </c>
      <c r="K22" s="515">
        <v>0</v>
      </c>
    </row>
    <row r="23" spans="1:11" ht="12.75">
      <c r="A23" s="14">
        <v>12</v>
      </c>
      <c r="B23" s="224" t="s">
        <v>842</v>
      </c>
      <c r="C23" s="513">
        <v>1381</v>
      </c>
      <c r="D23" s="514">
        <f t="shared" si="0"/>
        <v>69.05</v>
      </c>
      <c r="E23" s="513">
        <v>1381</v>
      </c>
      <c r="F23" s="514">
        <f t="shared" si="1"/>
        <v>69.05</v>
      </c>
      <c r="G23" s="513">
        <v>0</v>
      </c>
      <c r="H23" s="514">
        <v>0</v>
      </c>
      <c r="I23" s="513">
        <v>0</v>
      </c>
      <c r="J23" s="514">
        <v>0</v>
      </c>
      <c r="K23" s="515">
        <v>0</v>
      </c>
    </row>
    <row r="24" spans="1:11" ht="12.75">
      <c r="A24" s="14">
        <v>13</v>
      </c>
      <c r="B24" s="224" t="s">
        <v>843</v>
      </c>
      <c r="C24" s="513">
        <v>658</v>
      </c>
      <c r="D24" s="514">
        <f t="shared" si="0"/>
        <v>32.9</v>
      </c>
      <c r="E24" s="513">
        <v>658</v>
      </c>
      <c r="F24" s="514">
        <f t="shared" si="1"/>
        <v>32.9</v>
      </c>
      <c r="G24" s="513">
        <v>0</v>
      </c>
      <c r="H24" s="514">
        <v>0</v>
      </c>
      <c r="I24" s="513">
        <v>0</v>
      </c>
      <c r="J24" s="514">
        <v>0</v>
      </c>
      <c r="K24" s="515">
        <v>0</v>
      </c>
    </row>
    <row r="25" spans="1:11" ht="12.75">
      <c r="A25" s="14">
        <v>14</v>
      </c>
      <c r="B25" s="224" t="s">
        <v>844</v>
      </c>
      <c r="C25" s="513">
        <v>1114</v>
      </c>
      <c r="D25" s="514">
        <f t="shared" si="0"/>
        <v>55.7</v>
      </c>
      <c r="E25" s="513">
        <v>1114</v>
      </c>
      <c r="F25" s="514">
        <f t="shared" si="1"/>
        <v>55.7</v>
      </c>
      <c r="G25" s="513">
        <v>0</v>
      </c>
      <c r="H25" s="514">
        <v>0</v>
      </c>
      <c r="I25" s="513">
        <v>0</v>
      </c>
      <c r="J25" s="514">
        <v>0</v>
      </c>
      <c r="K25" s="515">
        <v>0</v>
      </c>
    </row>
    <row r="26" spans="1:11" ht="12.75">
      <c r="A26" s="14">
        <v>15</v>
      </c>
      <c r="B26" s="224" t="s">
        <v>845</v>
      </c>
      <c r="C26" s="513">
        <v>2204</v>
      </c>
      <c r="D26" s="514">
        <f t="shared" si="0"/>
        <v>110.2</v>
      </c>
      <c r="E26" s="513">
        <v>2196</v>
      </c>
      <c r="F26" s="514">
        <f t="shared" si="1"/>
        <v>109.8</v>
      </c>
      <c r="G26" s="513">
        <v>0</v>
      </c>
      <c r="H26" s="514">
        <v>0</v>
      </c>
      <c r="I26" s="513">
        <v>8</v>
      </c>
      <c r="J26" s="514">
        <v>0.4</v>
      </c>
      <c r="K26" s="515">
        <v>0</v>
      </c>
    </row>
    <row r="27" spans="1:11" ht="12.75">
      <c r="A27" s="14">
        <v>16</v>
      </c>
      <c r="B27" s="224" t="s">
        <v>846</v>
      </c>
      <c r="C27" s="513">
        <v>2641</v>
      </c>
      <c r="D27" s="514">
        <f t="shared" si="0"/>
        <v>132.05</v>
      </c>
      <c r="E27" s="513">
        <v>2641</v>
      </c>
      <c r="F27" s="514">
        <f t="shared" si="1"/>
        <v>132.05</v>
      </c>
      <c r="G27" s="513">
        <v>0</v>
      </c>
      <c r="H27" s="514">
        <v>0</v>
      </c>
      <c r="I27" s="513">
        <v>0</v>
      </c>
      <c r="J27" s="514">
        <v>0</v>
      </c>
      <c r="K27" s="515">
        <v>0</v>
      </c>
    </row>
    <row r="28" spans="1:11" ht="12.75">
      <c r="A28" s="14">
        <v>17</v>
      </c>
      <c r="B28" s="224" t="s">
        <v>847</v>
      </c>
      <c r="C28" s="513">
        <v>1770</v>
      </c>
      <c r="D28" s="514">
        <f t="shared" si="0"/>
        <v>88.5</v>
      </c>
      <c r="E28" s="513">
        <v>1770</v>
      </c>
      <c r="F28" s="514">
        <f t="shared" si="1"/>
        <v>88.5</v>
      </c>
      <c r="G28" s="513">
        <v>0</v>
      </c>
      <c r="H28" s="514">
        <v>0</v>
      </c>
      <c r="I28" s="513">
        <v>0</v>
      </c>
      <c r="J28" s="514">
        <v>0</v>
      </c>
      <c r="K28" s="515">
        <v>0</v>
      </c>
    </row>
    <row r="29" spans="1:11" ht="12.75">
      <c r="A29" s="14">
        <v>18</v>
      </c>
      <c r="B29" s="224" t="s">
        <v>848</v>
      </c>
      <c r="C29" s="513">
        <v>2084</v>
      </c>
      <c r="D29" s="514">
        <f t="shared" si="0"/>
        <v>104.2</v>
      </c>
      <c r="E29" s="513">
        <v>2084</v>
      </c>
      <c r="F29" s="514">
        <f t="shared" si="1"/>
        <v>104.2</v>
      </c>
      <c r="G29" s="513">
        <v>0</v>
      </c>
      <c r="H29" s="514">
        <v>0</v>
      </c>
      <c r="I29" s="513">
        <v>0</v>
      </c>
      <c r="J29" s="514">
        <v>0</v>
      </c>
      <c r="K29" s="515">
        <v>0</v>
      </c>
    </row>
    <row r="30" spans="1:11" ht="12.75">
      <c r="A30" s="14">
        <v>19</v>
      </c>
      <c r="B30" s="224" t="s">
        <v>849</v>
      </c>
      <c r="C30" s="513">
        <v>1567</v>
      </c>
      <c r="D30" s="514">
        <f t="shared" si="0"/>
        <v>78.35</v>
      </c>
      <c r="E30" s="513">
        <v>1567</v>
      </c>
      <c r="F30" s="514">
        <f t="shared" si="1"/>
        <v>78.35</v>
      </c>
      <c r="G30" s="513">
        <v>0</v>
      </c>
      <c r="H30" s="514">
        <v>0</v>
      </c>
      <c r="I30" s="513">
        <v>0</v>
      </c>
      <c r="J30" s="514">
        <v>0</v>
      </c>
      <c r="K30" s="515">
        <v>0</v>
      </c>
    </row>
    <row r="31" spans="1:11" ht="12.75">
      <c r="A31" s="14">
        <v>20</v>
      </c>
      <c r="B31" s="224" t="s">
        <v>850</v>
      </c>
      <c r="C31" s="513">
        <v>1489</v>
      </c>
      <c r="D31" s="514">
        <f t="shared" si="0"/>
        <v>74.45</v>
      </c>
      <c r="E31" s="513">
        <v>1489</v>
      </c>
      <c r="F31" s="514">
        <f t="shared" si="1"/>
        <v>74.45</v>
      </c>
      <c r="G31" s="513">
        <v>0</v>
      </c>
      <c r="H31" s="514">
        <v>0</v>
      </c>
      <c r="I31" s="513">
        <v>0</v>
      </c>
      <c r="J31" s="514">
        <v>0</v>
      </c>
      <c r="K31" s="515">
        <v>0</v>
      </c>
    </row>
    <row r="32" spans="1:11" ht="12.75">
      <c r="A32" s="14">
        <v>21</v>
      </c>
      <c r="B32" s="224" t="s">
        <v>851</v>
      </c>
      <c r="C32" s="513">
        <v>1856</v>
      </c>
      <c r="D32" s="514">
        <f t="shared" si="0"/>
        <v>92.8</v>
      </c>
      <c r="E32" s="513">
        <v>1856</v>
      </c>
      <c r="F32" s="514">
        <f t="shared" si="1"/>
        <v>92.8</v>
      </c>
      <c r="G32" s="513">
        <v>0</v>
      </c>
      <c r="H32" s="514">
        <v>0</v>
      </c>
      <c r="I32" s="513">
        <v>0</v>
      </c>
      <c r="J32" s="514">
        <v>0</v>
      </c>
      <c r="K32" s="515">
        <v>0</v>
      </c>
    </row>
    <row r="33" spans="1:11" ht="12.75">
      <c r="A33" s="14">
        <v>22</v>
      </c>
      <c r="B33" s="224" t="s">
        <v>852</v>
      </c>
      <c r="C33" s="513">
        <v>1352</v>
      </c>
      <c r="D33" s="514">
        <f t="shared" si="0"/>
        <v>67.6</v>
      </c>
      <c r="E33" s="513">
        <v>1352</v>
      </c>
      <c r="F33" s="514">
        <f t="shared" si="1"/>
        <v>67.6</v>
      </c>
      <c r="G33" s="513">
        <v>0</v>
      </c>
      <c r="H33" s="514">
        <v>0</v>
      </c>
      <c r="I33" s="513">
        <v>0</v>
      </c>
      <c r="J33" s="514">
        <v>0</v>
      </c>
      <c r="K33" s="515">
        <v>0</v>
      </c>
    </row>
    <row r="34" spans="1:11" ht="12.75">
      <c r="A34" s="14">
        <v>23</v>
      </c>
      <c r="B34" s="224" t="s">
        <v>853</v>
      </c>
      <c r="C34" s="513">
        <v>1418</v>
      </c>
      <c r="D34" s="514">
        <f t="shared" si="0"/>
        <v>70.9</v>
      </c>
      <c r="E34" s="513">
        <v>1418</v>
      </c>
      <c r="F34" s="514">
        <f t="shared" si="1"/>
        <v>70.9</v>
      </c>
      <c r="G34" s="513">
        <v>0</v>
      </c>
      <c r="H34" s="514">
        <v>0</v>
      </c>
      <c r="I34" s="513">
        <v>0</v>
      </c>
      <c r="J34" s="514">
        <v>0</v>
      </c>
      <c r="K34" s="515">
        <v>0</v>
      </c>
    </row>
    <row r="35" spans="1:11" ht="12.75">
      <c r="A35" s="14">
        <v>24</v>
      </c>
      <c r="B35" s="224" t="s">
        <v>854</v>
      </c>
      <c r="C35" s="513">
        <v>1776</v>
      </c>
      <c r="D35" s="514">
        <f t="shared" si="0"/>
        <v>88.8</v>
      </c>
      <c r="E35" s="513">
        <v>1776</v>
      </c>
      <c r="F35" s="514">
        <f t="shared" si="1"/>
        <v>88.8</v>
      </c>
      <c r="G35" s="513">
        <v>0</v>
      </c>
      <c r="H35" s="514">
        <v>0</v>
      </c>
      <c r="I35" s="513">
        <v>0</v>
      </c>
      <c r="J35" s="514">
        <v>0</v>
      </c>
      <c r="K35" s="515">
        <v>0</v>
      </c>
    </row>
    <row r="36" spans="1:11" s="24" customFormat="1" ht="12.75">
      <c r="A36" s="560" t="s">
        <v>13</v>
      </c>
      <c r="B36" s="561"/>
      <c r="C36" s="226">
        <f aca="true" t="shared" si="2" ref="C36:K36">SUM(C12:C35)</f>
        <v>37132</v>
      </c>
      <c r="D36" s="229">
        <f t="shared" si="2"/>
        <v>1856.6</v>
      </c>
      <c r="E36" s="226">
        <f t="shared" si="2"/>
        <v>37124</v>
      </c>
      <c r="F36" s="229">
        <f t="shared" si="2"/>
        <v>1856.1999999999998</v>
      </c>
      <c r="G36" s="226">
        <f t="shared" si="2"/>
        <v>0</v>
      </c>
      <c r="H36" s="229">
        <f t="shared" si="2"/>
        <v>0</v>
      </c>
      <c r="I36" s="226">
        <f t="shared" si="2"/>
        <v>8</v>
      </c>
      <c r="J36" s="229">
        <f t="shared" si="2"/>
        <v>0.4</v>
      </c>
      <c r="K36" s="23">
        <f t="shared" si="2"/>
        <v>0</v>
      </c>
    </row>
    <row r="37" s="17" customFormat="1" ht="12.75"/>
    <row r="38" s="17" customFormat="1" ht="12.75">
      <c r="A38" s="16" t="s">
        <v>35</v>
      </c>
    </row>
    <row r="39" spans="3:6" ht="12" customHeight="1">
      <c r="C39" s="345"/>
      <c r="D39" s="345"/>
      <c r="E39" s="345"/>
      <c r="F39" s="345"/>
    </row>
    <row r="40" spans="2:16" ht="12.75">
      <c r="B40" s="68"/>
      <c r="C40" s="68"/>
      <c r="D40" s="68"/>
      <c r="E40" s="68"/>
      <c r="F40" s="68"/>
      <c r="G40" s="68"/>
      <c r="H40" s="68"/>
      <c r="I40" s="68"/>
      <c r="J40" s="68"/>
      <c r="K40" s="68"/>
      <c r="L40" s="68"/>
      <c r="M40" s="68"/>
      <c r="N40" s="68"/>
      <c r="O40" s="68"/>
      <c r="P40" s="68"/>
    </row>
    <row r="41" spans="1:16" ht="12.75">
      <c r="A41" s="68"/>
      <c r="B41" s="68"/>
      <c r="C41" s="68"/>
      <c r="D41" s="68"/>
      <c r="E41" s="68"/>
      <c r="F41" s="68"/>
      <c r="G41" s="68"/>
      <c r="H41" s="68"/>
      <c r="I41" s="68"/>
      <c r="J41" s="68"/>
      <c r="K41" s="68"/>
      <c r="L41" s="68"/>
      <c r="M41" s="68"/>
      <c r="N41" s="68"/>
      <c r="O41" s="68"/>
      <c r="P41" s="68"/>
    </row>
    <row r="42" spans="1:16" ht="12.75">
      <c r="A42" s="559" t="s">
        <v>989</v>
      </c>
      <c r="B42" s="559"/>
      <c r="C42" s="559"/>
      <c r="F42" s="559" t="s">
        <v>990</v>
      </c>
      <c r="G42" s="559"/>
      <c r="J42" s="559" t="s">
        <v>996</v>
      </c>
      <c r="K42" s="559"/>
      <c r="L42" s="68"/>
      <c r="M42" s="68"/>
      <c r="N42" s="68"/>
      <c r="O42" s="68"/>
      <c r="P42" s="68"/>
    </row>
    <row r="43" spans="1:11" ht="12.75">
      <c r="A43" s="559" t="s">
        <v>991</v>
      </c>
      <c r="B43" s="559"/>
      <c r="C43" s="559"/>
      <c r="F43" s="559" t="s">
        <v>992</v>
      </c>
      <c r="G43" s="559"/>
      <c r="J43" s="559" t="s">
        <v>993</v>
      </c>
      <c r="K43" s="559"/>
    </row>
    <row r="44" spans="1:11" ht="12.75">
      <c r="A44" s="559" t="s">
        <v>994</v>
      </c>
      <c r="B44" s="559"/>
      <c r="C44" s="559"/>
      <c r="F44" s="559" t="s">
        <v>995</v>
      </c>
      <c r="G44" s="559"/>
      <c r="J44" s="559" t="s">
        <v>995</v>
      </c>
      <c r="K44" s="559"/>
    </row>
    <row r="45" spans="1:10" ht="12.75">
      <c r="A45" s="687"/>
      <c r="B45" s="687"/>
      <c r="C45" s="687"/>
      <c r="D45" s="687"/>
      <c r="E45" s="687"/>
      <c r="F45" s="687"/>
      <c r="G45" s="687"/>
      <c r="H45" s="687"/>
      <c r="I45" s="687"/>
      <c r="J45" s="687"/>
    </row>
  </sheetData>
  <sheetProtection/>
  <mergeCells count="26">
    <mergeCell ref="J1:K1"/>
    <mergeCell ref="I9:J9"/>
    <mergeCell ref="D1:E1"/>
    <mergeCell ref="G9:H9"/>
    <mergeCell ref="E9:F9"/>
    <mergeCell ref="A9:A10"/>
    <mergeCell ref="C9:D9"/>
    <mergeCell ref="A5:K5"/>
    <mergeCell ref="A3:K3"/>
    <mergeCell ref="A2:K2"/>
    <mergeCell ref="A45:J45"/>
    <mergeCell ref="A7:B7"/>
    <mergeCell ref="I7:K7"/>
    <mergeCell ref="C8:J8"/>
    <mergeCell ref="K9:K10"/>
    <mergeCell ref="B9:B10"/>
    <mergeCell ref="A36:B36"/>
    <mergeCell ref="A43:C43"/>
    <mergeCell ref="F43:G43"/>
    <mergeCell ref="J43:K43"/>
    <mergeCell ref="A44:C44"/>
    <mergeCell ref="F44:G44"/>
    <mergeCell ref="J44:K44"/>
    <mergeCell ref="A42:C42"/>
    <mergeCell ref="F42:G42"/>
    <mergeCell ref="J42:K4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S45"/>
  <sheetViews>
    <sheetView view="pageBreakPreview" zoomScale="70" zoomScaleSheetLayoutView="70" zoomScalePageLayoutView="0" workbookViewId="0" topLeftCell="A1">
      <selection activeCell="T18" sqref="T18"/>
    </sheetView>
  </sheetViews>
  <sheetFormatPr defaultColWidth="9.140625" defaultRowHeight="12.75"/>
  <cols>
    <col min="1" max="1" width="9.140625" style="12" customWidth="1"/>
    <col min="2" max="2" width="17.28125" style="12" customWidth="1"/>
    <col min="3" max="3" width="16.28125" style="12" customWidth="1"/>
    <col min="4" max="4" width="15.8515625" style="12" customWidth="1"/>
    <col min="5" max="5" width="9.28125" style="12" customWidth="1"/>
    <col min="6" max="6" width="13.57421875" style="12" customWidth="1"/>
    <col min="7" max="7" width="9.7109375" style="12" customWidth="1"/>
    <col min="8" max="8" width="10.421875" style="12" customWidth="1"/>
    <col min="9" max="9" width="15.28125" style="12" customWidth="1"/>
    <col min="10" max="10" width="19.28125" style="12" customWidth="1"/>
    <col min="11" max="11" width="15.00390625" style="12" customWidth="1"/>
    <col min="12" max="16384" width="9.140625" style="12" customWidth="1"/>
  </cols>
  <sheetData>
    <row r="1" spans="4:11" ht="22.5" customHeight="1">
      <c r="D1" s="594"/>
      <c r="E1" s="594"/>
      <c r="H1" s="36"/>
      <c r="J1" s="681" t="s">
        <v>483</v>
      </c>
      <c r="K1" s="681"/>
    </row>
    <row r="2" spans="1:11" ht="18">
      <c r="A2" s="715" t="s">
        <v>0</v>
      </c>
      <c r="B2" s="715"/>
      <c r="C2" s="715"/>
      <c r="D2" s="715"/>
      <c r="E2" s="715"/>
      <c r="F2" s="715"/>
      <c r="G2" s="715"/>
      <c r="H2" s="715"/>
      <c r="I2" s="715"/>
      <c r="J2" s="715"/>
      <c r="K2" s="715"/>
    </row>
    <row r="3" spans="1:11" ht="18">
      <c r="A3" s="715" t="s">
        <v>645</v>
      </c>
      <c r="B3" s="715"/>
      <c r="C3" s="715"/>
      <c r="D3" s="715"/>
      <c r="E3" s="715"/>
      <c r="F3" s="715"/>
      <c r="G3" s="715"/>
      <c r="H3" s="715"/>
      <c r="I3" s="715"/>
      <c r="J3" s="715"/>
      <c r="K3" s="715"/>
    </row>
    <row r="4" ht="10.5" customHeight="1"/>
    <row r="5" spans="1:12" ht="15.75" customHeight="1">
      <c r="A5" s="818" t="s">
        <v>493</v>
      </c>
      <c r="B5" s="818"/>
      <c r="C5" s="818"/>
      <c r="D5" s="818"/>
      <c r="E5" s="818"/>
      <c r="F5" s="818"/>
      <c r="G5" s="818"/>
      <c r="H5" s="818"/>
      <c r="I5" s="818"/>
      <c r="J5" s="818"/>
      <c r="K5" s="818"/>
      <c r="L5" s="388"/>
    </row>
    <row r="6" spans="1:10" ht="15.75" customHeight="1">
      <c r="A6" s="39"/>
      <c r="B6" s="39"/>
      <c r="C6" s="39"/>
      <c r="D6" s="39"/>
      <c r="E6" s="39"/>
      <c r="F6" s="39"/>
      <c r="G6" s="39"/>
      <c r="H6" s="39"/>
      <c r="I6" s="39"/>
      <c r="J6" s="39"/>
    </row>
    <row r="7" spans="1:11" ht="12.75">
      <c r="A7" s="593" t="s">
        <v>157</v>
      </c>
      <c r="B7" s="593"/>
      <c r="I7" s="815" t="s">
        <v>988</v>
      </c>
      <c r="J7" s="815"/>
      <c r="K7" s="815"/>
    </row>
    <row r="8" spans="3:10" s="10" customFormat="1" ht="15.75" hidden="1">
      <c r="C8" s="684" t="s">
        <v>10</v>
      </c>
      <c r="D8" s="684"/>
      <c r="E8" s="684"/>
      <c r="F8" s="684"/>
      <c r="G8" s="684"/>
      <c r="H8" s="684"/>
      <c r="I8" s="684"/>
      <c r="J8" s="684"/>
    </row>
    <row r="9" spans="1:19" ht="31.5" customHeight="1">
      <c r="A9" s="685" t="s">
        <v>17</v>
      </c>
      <c r="B9" s="685" t="s">
        <v>31</v>
      </c>
      <c r="C9" s="574" t="s">
        <v>757</v>
      </c>
      <c r="D9" s="575"/>
      <c r="E9" s="574" t="s">
        <v>482</v>
      </c>
      <c r="F9" s="575"/>
      <c r="G9" s="574" t="s">
        <v>33</v>
      </c>
      <c r="H9" s="575"/>
      <c r="I9" s="573" t="s">
        <v>98</v>
      </c>
      <c r="J9" s="573"/>
      <c r="K9" s="685" t="s">
        <v>521</v>
      </c>
      <c r="R9" s="15"/>
      <c r="S9" s="17"/>
    </row>
    <row r="10" spans="1:11" s="11" customFormat="1" ht="46.5" customHeight="1">
      <c r="A10" s="686"/>
      <c r="B10" s="686"/>
      <c r="C10" s="5" t="s">
        <v>34</v>
      </c>
      <c r="D10" s="5" t="s">
        <v>97</v>
      </c>
      <c r="E10" s="5" t="s">
        <v>34</v>
      </c>
      <c r="F10" s="5" t="s">
        <v>97</v>
      </c>
      <c r="G10" s="5" t="s">
        <v>34</v>
      </c>
      <c r="H10" s="5" t="s">
        <v>97</v>
      </c>
      <c r="I10" s="5" t="s">
        <v>132</v>
      </c>
      <c r="J10" s="5" t="s">
        <v>133</v>
      </c>
      <c r="K10" s="686"/>
    </row>
    <row r="11" spans="1:11" ht="12.75">
      <c r="A11" s="183">
        <v>1</v>
      </c>
      <c r="B11" s="183">
        <v>2</v>
      </c>
      <c r="C11" s="183">
        <v>3</v>
      </c>
      <c r="D11" s="183">
        <v>4</v>
      </c>
      <c r="E11" s="183">
        <v>5</v>
      </c>
      <c r="F11" s="183">
        <v>6</v>
      </c>
      <c r="G11" s="183">
        <v>7</v>
      </c>
      <c r="H11" s="183">
        <v>8</v>
      </c>
      <c r="I11" s="183">
        <v>9</v>
      </c>
      <c r="J11" s="183">
        <v>10</v>
      </c>
      <c r="K11" s="183">
        <v>11</v>
      </c>
    </row>
    <row r="12" spans="1:11" ht="12.75">
      <c r="A12" s="14">
        <v>1</v>
      </c>
      <c r="B12" s="224" t="s">
        <v>831</v>
      </c>
      <c r="C12" s="512">
        <v>612</v>
      </c>
      <c r="D12" s="228">
        <f>C12*5000/100000</f>
        <v>30.6</v>
      </c>
      <c r="E12" s="15">
        <v>420</v>
      </c>
      <c r="F12" s="228">
        <v>21</v>
      </c>
      <c r="G12" s="512">
        <v>0</v>
      </c>
      <c r="H12" s="228">
        <v>0</v>
      </c>
      <c r="I12" s="512">
        <f>C12-E12</f>
        <v>192</v>
      </c>
      <c r="J12" s="228">
        <f>I12*5000/100000</f>
        <v>9.6</v>
      </c>
      <c r="K12" s="15">
        <v>0</v>
      </c>
    </row>
    <row r="13" spans="1:11" ht="12.75">
      <c r="A13" s="14">
        <v>2</v>
      </c>
      <c r="B13" s="224" t="s">
        <v>832</v>
      </c>
      <c r="C13" s="512">
        <v>398</v>
      </c>
      <c r="D13" s="228">
        <f aca="true" t="shared" si="0" ref="D13:D35">C13*5000/100000</f>
        <v>19.9</v>
      </c>
      <c r="E13" s="15">
        <v>207</v>
      </c>
      <c r="F13" s="228">
        <v>10.35</v>
      </c>
      <c r="G13" s="512">
        <v>0</v>
      </c>
      <c r="H13" s="228">
        <v>0</v>
      </c>
      <c r="I13" s="512">
        <f aca="true" t="shared" si="1" ref="I13:I35">C13-E13</f>
        <v>191</v>
      </c>
      <c r="J13" s="228">
        <f aca="true" t="shared" si="2" ref="J13:J35">I13*5000/100000</f>
        <v>9.55</v>
      </c>
      <c r="K13" s="15">
        <v>0</v>
      </c>
    </row>
    <row r="14" spans="1:11" ht="12.75">
      <c r="A14" s="14">
        <v>3</v>
      </c>
      <c r="B14" s="224" t="s">
        <v>833</v>
      </c>
      <c r="C14" s="512">
        <v>508</v>
      </c>
      <c r="D14" s="228">
        <f t="shared" si="0"/>
        <v>25.4</v>
      </c>
      <c r="E14" s="15">
        <v>316</v>
      </c>
      <c r="F14" s="228">
        <v>15.8</v>
      </c>
      <c r="G14" s="512">
        <v>0</v>
      </c>
      <c r="H14" s="228">
        <v>0</v>
      </c>
      <c r="I14" s="512">
        <f t="shared" si="1"/>
        <v>192</v>
      </c>
      <c r="J14" s="228">
        <f t="shared" si="2"/>
        <v>9.6</v>
      </c>
      <c r="K14" s="15">
        <v>0</v>
      </c>
    </row>
    <row r="15" spans="1:11" ht="12.75">
      <c r="A15" s="14">
        <v>4</v>
      </c>
      <c r="B15" s="224" t="s">
        <v>834</v>
      </c>
      <c r="C15" s="512">
        <v>479</v>
      </c>
      <c r="D15" s="228">
        <f t="shared" si="0"/>
        <v>23.95</v>
      </c>
      <c r="E15" s="15">
        <v>287</v>
      </c>
      <c r="F15" s="228">
        <v>14.35</v>
      </c>
      <c r="G15" s="512">
        <v>0</v>
      </c>
      <c r="H15" s="228">
        <v>0</v>
      </c>
      <c r="I15" s="512">
        <f t="shared" si="1"/>
        <v>192</v>
      </c>
      <c r="J15" s="228">
        <f t="shared" si="2"/>
        <v>9.6</v>
      </c>
      <c r="K15" s="15">
        <v>0</v>
      </c>
    </row>
    <row r="16" spans="1:11" ht="12.75">
      <c r="A16" s="14">
        <v>5</v>
      </c>
      <c r="B16" s="224" t="s">
        <v>835</v>
      </c>
      <c r="C16" s="512">
        <v>598</v>
      </c>
      <c r="D16" s="228">
        <f t="shared" si="0"/>
        <v>29.9</v>
      </c>
      <c r="E16" s="15">
        <v>406</v>
      </c>
      <c r="F16" s="228">
        <v>20.3</v>
      </c>
      <c r="G16" s="512">
        <v>0</v>
      </c>
      <c r="H16" s="228">
        <v>0</v>
      </c>
      <c r="I16" s="512">
        <f t="shared" si="1"/>
        <v>192</v>
      </c>
      <c r="J16" s="228">
        <f t="shared" si="2"/>
        <v>9.6</v>
      </c>
      <c r="K16" s="15">
        <v>0</v>
      </c>
    </row>
    <row r="17" spans="1:11" ht="12.75">
      <c r="A17" s="14">
        <v>6</v>
      </c>
      <c r="B17" s="224" t="s">
        <v>836</v>
      </c>
      <c r="C17" s="512">
        <v>734</v>
      </c>
      <c r="D17" s="228">
        <f t="shared" si="0"/>
        <v>36.7</v>
      </c>
      <c r="E17" s="15">
        <v>542</v>
      </c>
      <c r="F17" s="228">
        <v>27.1</v>
      </c>
      <c r="G17" s="512">
        <v>0</v>
      </c>
      <c r="H17" s="228">
        <v>0</v>
      </c>
      <c r="I17" s="512">
        <f t="shared" si="1"/>
        <v>192</v>
      </c>
      <c r="J17" s="228">
        <f t="shared" si="2"/>
        <v>9.6</v>
      </c>
      <c r="K17" s="15">
        <v>0</v>
      </c>
    </row>
    <row r="18" spans="1:11" ht="12.75">
      <c r="A18" s="14">
        <v>7</v>
      </c>
      <c r="B18" s="224" t="s">
        <v>837</v>
      </c>
      <c r="C18" s="512">
        <v>598</v>
      </c>
      <c r="D18" s="228">
        <f t="shared" si="0"/>
        <v>29.9</v>
      </c>
      <c r="E18" s="15">
        <v>406</v>
      </c>
      <c r="F18" s="228">
        <v>20.3</v>
      </c>
      <c r="G18" s="512">
        <v>0</v>
      </c>
      <c r="H18" s="228">
        <v>0</v>
      </c>
      <c r="I18" s="512">
        <f t="shared" si="1"/>
        <v>192</v>
      </c>
      <c r="J18" s="228">
        <f t="shared" si="2"/>
        <v>9.6</v>
      </c>
      <c r="K18" s="15">
        <v>0</v>
      </c>
    </row>
    <row r="19" spans="1:11" ht="12.75">
      <c r="A19" s="14">
        <v>8</v>
      </c>
      <c r="B19" s="224" t="s">
        <v>838</v>
      </c>
      <c r="C19" s="512">
        <v>801</v>
      </c>
      <c r="D19" s="228">
        <f t="shared" si="0"/>
        <v>40.05</v>
      </c>
      <c r="E19" s="15">
        <v>609</v>
      </c>
      <c r="F19" s="228">
        <v>30.45</v>
      </c>
      <c r="G19" s="512">
        <v>0</v>
      </c>
      <c r="H19" s="228">
        <v>0</v>
      </c>
      <c r="I19" s="512">
        <f t="shared" si="1"/>
        <v>192</v>
      </c>
      <c r="J19" s="228">
        <f t="shared" si="2"/>
        <v>9.6</v>
      </c>
      <c r="K19" s="15">
        <v>0</v>
      </c>
    </row>
    <row r="20" spans="1:11" ht="12.75">
      <c r="A20" s="14">
        <v>9</v>
      </c>
      <c r="B20" s="224" t="s">
        <v>839</v>
      </c>
      <c r="C20" s="512">
        <v>752</v>
      </c>
      <c r="D20" s="228">
        <f t="shared" si="0"/>
        <v>37.6</v>
      </c>
      <c r="E20" s="15">
        <v>560</v>
      </c>
      <c r="F20" s="228">
        <v>28</v>
      </c>
      <c r="G20" s="512">
        <v>0</v>
      </c>
      <c r="H20" s="228">
        <v>0</v>
      </c>
      <c r="I20" s="512">
        <f t="shared" si="1"/>
        <v>192</v>
      </c>
      <c r="J20" s="228">
        <f t="shared" si="2"/>
        <v>9.6</v>
      </c>
      <c r="K20" s="15">
        <v>0</v>
      </c>
    </row>
    <row r="21" spans="1:11" ht="12.75">
      <c r="A21" s="14">
        <v>10</v>
      </c>
      <c r="B21" s="224" t="s">
        <v>840</v>
      </c>
      <c r="C21" s="512">
        <v>632</v>
      </c>
      <c r="D21" s="228">
        <f t="shared" si="0"/>
        <v>31.6</v>
      </c>
      <c r="E21" s="15">
        <v>440</v>
      </c>
      <c r="F21" s="228">
        <v>22</v>
      </c>
      <c r="G21" s="512">
        <v>0</v>
      </c>
      <c r="H21" s="228">
        <v>0</v>
      </c>
      <c r="I21" s="512">
        <f t="shared" si="1"/>
        <v>192</v>
      </c>
      <c r="J21" s="228">
        <f t="shared" si="2"/>
        <v>9.6</v>
      </c>
      <c r="K21" s="15">
        <v>0</v>
      </c>
    </row>
    <row r="22" spans="1:11" ht="12.75">
      <c r="A22" s="14">
        <v>11</v>
      </c>
      <c r="B22" s="224" t="s">
        <v>841</v>
      </c>
      <c r="C22" s="512">
        <v>752</v>
      </c>
      <c r="D22" s="228">
        <f t="shared" si="0"/>
        <v>37.6</v>
      </c>
      <c r="E22" s="15">
        <v>560</v>
      </c>
      <c r="F22" s="228">
        <v>28</v>
      </c>
      <c r="G22" s="512">
        <v>0</v>
      </c>
      <c r="H22" s="228">
        <v>0</v>
      </c>
      <c r="I22" s="512">
        <f t="shared" si="1"/>
        <v>192</v>
      </c>
      <c r="J22" s="228">
        <f t="shared" si="2"/>
        <v>9.6</v>
      </c>
      <c r="K22" s="15">
        <v>0</v>
      </c>
    </row>
    <row r="23" spans="1:11" ht="12.75">
      <c r="A23" s="14">
        <v>12</v>
      </c>
      <c r="B23" s="224" t="s">
        <v>842</v>
      </c>
      <c r="C23" s="512">
        <v>672</v>
      </c>
      <c r="D23" s="228">
        <f t="shared" si="0"/>
        <v>33.6</v>
      </c>
      <c r="E23" s="15">
        <v>480</v>
      </c>
      <c r="F23" s="228">
        <v>24</v>
      </c>
      <c r="G23" s="512">
        <v>0</v>
      </c>
      <c r="H23" s="228">
        <v>0</v>
      </c>
      <c r="I23" s="512">
        <f t="shared" si="1"/>
        <v>192</v>
      </c>
      <c r="J23" s="228">
        <f t="shared" si="2"/>
        <v>9.6</v>
      </c>
      <c r="K23" s="15">
        <v>0</v>
      </c>
    </row>
    <row r="24" spans="1:11" ht="12.75">
      <c r="A24" s="14">
        <v>13</v>
      </c>
      <c r="B24" s="224" t="s">
        <v>843</v>
      </c>
      <c r="C24" s="512">
        <v>391</v>
      </c>
      <c r="D24" s="228">
        <f t="shared" si="0"/>
        <v>19.55</v>
      </c>
      <c r="E24" s="15">
        <v>200</v>
      </c>
      <c r="F24" s="228">
        <v>10</v>
      </c>
      <c r="G24" s="512">
        <v>0</v>
      </c>
      <c r="H24" s="228">
        <v>0</v>
      </c>
      <c r="I24" s="512">
        <f t="shared" si="1"/>
        <v>191</v>
      </c>
      <c r="J24" s="228">
        <f t="shared" si="2"/>
        <v>9.55</v>
      </c>
      <c r="K24" s="15">
        <v>0</v>
      </c>
    </row>
    <row r="25" spans="1:11" ht="12.75">
      <c r="A25" s="14">
        <v>14</v>
      </c>
      <c r="B25" s="224" t="s">
        <v>844</v>
      </c>
      <c r="C25" s="512">
        <v>602</v>
      </c>
      <c r="D25" s="228">
        <f t="shared" si="0"/>
        <v>30.1</v>
      </c>
      <c r="E25" s="15">
        <v>410</v>
      </c>
      <c r="F25" s="228">
        <v>20.5</v>
      </c>
      <c r="G25" s="512">
        <v>0</v>
      </c>
      <c r="H25" s="228">
        <v>0</v>
      </c>
      <c r="I25" s="512">
        <f t="shared" si="1"/>
        <v>192</v>
      </c>
      <c r="J25" s="228">
        <f t="shared" si="2"/>
        <v>9.6</v>
      </c>
      <c r="K25" s="15">
        <v>0</v>
      </c>
    </row>
    <row r="26" spans="1:11" ht="12.75">
      <c r="A26" s="14">
        <v>15</v>
      </c>
      <c r="B26" s="224" t="s">
        <v>845</v>
      </c>
      <c r="C26" s="512">
        <v>672</v>
      </c>
      <c r="D26" s="228">
        <f t="shared" si="0"/>
        <v>33.6</v>
      </c>
      <c r="E26" s="15">
        <v>480</v>
      </c>
      <c r="F26" s="228">
        <v>24</v>
      </c>
      <c r="G26" s="512">
        <v>0</v>
      </c>
      <c r="H26" s="228">
        <v>0</v>
      </c>
      <c r="I26" s="512">
        <f t="shared" si="1"/>
        <v>192</v>
      </c>
      <c r="J26" s="228">
        <f t="shared" si="2"/>
        <v>9.6</v>
      </c>
      <c r="K26" s="15">
        <v>0</v>
      </c>
    </row>
    <row r="27" spans="1:11" ht="12.75">
      <c r="A27" s="14">
        <v>16</v>
      </c>
      <c r="B27" s="224" t="s">
        <v>846</v>
      </c>
      <c r="C27" s="512">
        <v>782</v>
      </c>
      <c r="D27" s="228">
        <f t="shared" si="0"/>
        <v>39.1</v>
      </c>
      <c r="E27" s="15">
        <v>590</v>
      </c>
      <c r="F27" s="228">
        <v>29.5</v>
      </c>
      <c r="G27" s="512">
        <v>0</v>
      </c>
      <c r="H27" s="228">
        <v>0</v>
      </c>
      <c r="I27" s="512">
        <f t="shared" si="1"/>
        <v>192</v>
      </c>
      <c r="J27" s="228">
        <f t="shared" si="2"/>
        <v>9.6</v>
      </c>
      <c r="K27" s="15">
        <v>0</v>
      </c>
    </row>
    <row r="28" spans="1:11" ht="12.75">
      <c r="A28" s="14">
        <v>17</v>
      </c>
      <c r="B28" s="224" t="s">
        <v>847</v>
      </c>
      <c r="C28" s="512">
        <v>862</v>
      </c>
      <c r="D28" s="228">
        <f t="shared" si="0"/>
        <v>43.1</v>
      </c>
      <c r="E28" s="15">
        <v>0</v>
      </c>
      <c r="F28" s="228">
        <v>0</v>
      </c>
      <c r="G28" s="512">
        <v>0</v>
      </c>
      <c r="H28" s="228">
        <v>0</v>
      </c>
      <c r="I28" s="512">
        <f t="shared" si="1"/>
        <v>862</v>
      </c>
      <c r="J28" s="228">
        <f t="shared" si="2"/>
        <v>43.1</v>
      </c>
      <c r="K28" s="15">
        <v>0</v>
      </c>
    </row>
    <row r="29" spans="1:11" ht="12.75">
      <c r="A29" s="14">
        <v>18</v>
      </c>
      <c r="B29" s="224" t="s">
        <v>848</v>
      </c>
      <c r="C29" s="512">
        <v>752</v>
      </c>
      <c r="D29" s="228">
        <f t="shared" si="0"/>
        <v>37.6</v>
      </c>
      <c r="E29" s="15">
        <v>560</v>
      </c>
      <c r="F29" s="228">
        <v>28</v>
      </c>
      <c r="G29" s="512">
        <v>0</v>
      </c>
      <c r="H29" s="228">
        <v>0</v>
      </c>
      <c r="I29" s="512">
        <f t="shared" si="1"/>
        <v>192</v>
      </c>
      <c r="J29" s="228">
        <f t="shared" si="2"/>
        <v>9.6</v>
      </c>
      <c r="K29" s="15">
        <v>0</v>
      </c>
    </row>
    <row r="30" spans="1:11" ht="12.75">
      <c r="A30" s="14">
        <v>19</v>
      </c>
      <c r="B30" s="224" t="s">
        <v>849</v>
      </c>
      <c r="C30" s="512">
        <v>712</v>
      </c>
      <c r="D30" s="228">
        <f t="shared" si="0"/>
        <v>35.6</v>
      </c>
      <c r="E30" s="15">
        <v>520</v>
      </c>
      <c r="F30" s="228">
        <v>26</v>
      </c>
      <c r="G30" s="512">
        <v>0</v>
      </c>
      <c r="H30" s="228">
        <v>0</v>
      </c>
      <c r="I30" s="512">
        <f t="shared" si="1"/>
        <v>192</v>
      </c>
      <c r="J30" s="228">
        <f t="shared" si="2"/>
        <v>9.6</v>
      </c>
      <c r="K30" s="15">
        <v>0</v>
      </c>
    </row>
    <row r="31" spans="1:11" ht="12.75">
      <c r="A31" s="14">
        <v>20</v>
      </c>
      <c r="B31" s="224" t="s">
        <v>850</v>
      </c>
      <c r="C31" s="512">
        <v>672</v>
      </c>
      <c r="D31" s="228">
        <f t="shared" si="0"/>
        <v>33.6</v>
      </c>
      <c r="E31" s="15">
        <v>480</v>
      </c>
      <c r="F31" s="228">
        <v>24</v>
      </c>
      <c r="G31" s="512">
        <v>0</v>
      </c>
      <c r="H31" s="228">
        <v>0</v>
      </c>
      <c r="I31" s="512">
        <f t="shared" si="1"/>
        <v>192</v>
      </c>
      <c r="J31" s="228">
        <f t="shared" si="2"/>
        <v>9.6</v>
      </c>
      <c r="K31" s="15">
        <v>0</v>
      </c>
    </row>
    <row r="32" spans="1:11" ht="12.75">
      <c r="A32" s="14">
        <v>21</v>
      </c>
      <c r="B32" s="224" t="s">
        <v>851</v>
      </c>
      <c r="C32" s="512">
        <v>772</v>
      </c>
      <c r="D32" s="228">
        <f t="shared" si="0"/>
        <v>38.6</v>
      </c>
      <c r="E32" s="15">
        <v>580</v>
      </c>
      <c r="F32" s="228">
        <v>29</v>
      </c>
      <c r="G32" s="512">
        <v>0</v>
      </c>
      <c r="H32" s="228">
        <v>0</v>
      </c>
      <c r="I32" s="512">
        <f t="shared" si="1"/>
        <v>192</v>
      </c>
      <c r="J32" s="228">
        <f t="shared" si="2"/>
        <v>9.6</v>
      </c>
      <c r="K32" s="15">
        <v>0</v>
      </c>
    </row>
    <row r="33" spans="1:11" ht="12.75">
      <c r="A33" s="14">
        <v>22</v>
      </c>
      <c r="B33" s="224" t="s">
        <v>852</v>
      </c>
      <c r="C33" s="512">
        <v>672</v>
      </c>
      <c r="D33" s="228">
        <f t="shared" si="0"/>
        <v>33.6</v>
      </c>
      <c r="E33" s="15">
        <v>480</v>
      </c>
      <c r="F33" s="228">
        <v>24</v>
      </c>
      <c r="G33" s="512">
        <v>0</v>
      </c>
      <c r="H33" s="228">
        <v>0</v>
      </c>
      <c r="I33" s="512">
        <f t="shared" si="1"/>
        <v>192</v>
      </c>
      <c r="J33" s="228">
        <f t="shared" si="2"/>
        <v>9.6</v>
      </c>
      <c r="K33" s="15">
        <v>0</v>
      </c>
    </row>
    <row r="34" spans="1:11" s="17" customFormat="1" ht="12.75">
      <c r="A34" s="14">
        <v>23</v>
      </c>
      <c r="B34" s="224" t="s">
        <v>853</v>
      </c>
      <c r="C34" s="512">
        <v>672</v>
      </c>
      <c r="D34" s="228">
        <f t="shared" si="0"/>
        <v>33.6</v>
      </c>
      <c r="E34" s="15">
        <v>480</v>
      </c>
      <c r="F34" s="228">
        <v>24</v>
      </c>
      <c r="G34" s="512">
        <v>0</v>
      </c>
      <c r="H34" s="228">
        <v>0</v>
      </c>
      <c r="I34" s="512">
        <f t="shared" si="1"/>
        <v>192</v>
      </c>
      <c r="J34" s="228">
        <f t="shared" si="2"/>
        <v>9.6</v>
      </c>
      <c r="K34" s="15">
        <v>0</v>
      </c>
    </row>
    <row r="35" spans="1:11" s="17" customFormat="1" ht="12.75">
      <c r="A35" s="14">
        <v>24</v>
      </c>
      <c r="B35" s="224" t="s">
        <v>854</v>
      </c>
      <c r="C35" s="512">
        <v>752</v>
      </c>
      <c r="D35" s="228">
        <f t="shared" si="0"/>
        <v>37.6</v>
      </c>
      <c r="E35" s="15">
        <v>560</v>
      </c>
      <c r="F35" s="228">
        <v>28</v>
      </c>
      <c r="G35" s="512">
        <v>0</v>
      </c>
      <c r="H35" s="228">
        <v>0</v>
      </c>
      <c r="I35" s="512">
        <f t="shared" si="1"/>
        <v>192</v>
      </c>
      <c r="J35" s="228">
        <f t="shared" si="2"/>
        <v>9.6</v>
      </c>
      <c r="K35" s="15">
        <v>0</v>
      </c>
    </row>
    <row r="36" spans="1:11" s="24" customFormat="1" ht="12.75">
      <c r="A36" s="560" t="s">
        <v>13</v>
      </c>
      <c r="B36" s="561"/>
      <c r="C36" s="226">
        <f aca="true" t="shared" si="3" ref="C36:K36">SUM(C12:C35)</f>
        <v>15849</v>
      </c>
      <c r="D36" s="229">
        <f t="shared" si="3"/>
        <v>792.4500000000003</v>
      </c>
      <c r="E36" s="23">
        <f t="shared" si="3"/>
        <v>10573</v>
      </c>
      <c r="F36" s="229">
        <f t="shared" si="3"/>
        <v>528.65</v>
      </c>
      <c r="G36" s="226">
        <f t="shared" si="3"/>
        <v>0</v>
      </c>
      <c r="H36" s="229">
        <f t="shared" si="3"/>
        <v>0</v>
      </c>
      <c r="I36" s="226">
        <f t="shared" si="3"/>
        <v>5276</v>
      </c>
      <c r="J36" s="229">
        <f t="shared" si="3"/>
        <v>263.79999999999995</v>
      </c>
      <c r="K36" s="23">
        <f t="shared" si="3"/>
        <v>0</v>
      </c>
    </row>
    <row r="37" s="17" customFormat="1" ht="12.75"/>
    <row r="38" s="17" customFormat="1" ht="12.75">
      <c r="A38" s="16" t="s">
        <v>35</v>
      </c>
    </row>
    <row r="39" spans="3:6" ht="15.75">
      <c r="C39" s="345"/>
      <c r="D39" s="345"/>
      <c r="E39" s="345"/>
      <c r="F39" s="345"/>
    </row>
    <row r="40" spans="2:16" ht="12.75">
      <c r="B40" s="68"/>
      <c r="C40" s="68"/>
      <c r="D40" s="68"/>
      <c r="E40" s="68"/>
      <c r="F40" s="68"/>
      <c r="G40" s="68"/>
      <c r="H40" s="68"/>
      <c r="I40" s="68"/>
      <c r="J40" s="68"/>
      <c r="K40" s="68"/>
      <c r="L40" s="68"/>
      <c r="M40" s="68"/>
      <c r="N40" s="68"/>
      <c r="O40" s="68"/>
      <c r="P40" s="68"/>
    </row>
    <row r="41" spans="1:16" ht="12.75">
      <c r="A41" s="68"/>
      <c r="B41" s="68"/>
      <c r="C41" s="68"/>
      <c r="D41" s="68"/>
      <c r="E41" s="68"/>
      <c r="F41" s="68"/>
      <c r="G41" s="68"/>
      <c r="H41" s="68"/>
      <c r="I41" s="68"/>
      <c r="J41" s="68"/>
      <c r="K41" s="68"/>
      <c r="L41" s="68"/>
      <c r="M41" s="68"/>
      <c r="N41" s="68"/>
      <c r="O41" s="68"/>
      <c r="P41" s="68"/>
    </row>
    <row r="42" spans="1:16" ht="12.75">
      <c r="A42" s="559" t="s">
        <v>989</v>
      </c>
      <c r="B42" s="559"/>
      <c r="C42" s="559"/>
      <c r="F42" s="559" t="s">
        <v>990</v>
      </c>
      <c r="G42" s="559"/>
      <c r="J42" s="559" t="s">
        <v>996</v>
      </c>
      <c r="K42" s="559"/>
      <c r="L42" s="68"/>
      <c r="M42" s="68"/>
      <c r="N42" s="68"/>
      <c r="O42" s="68"/>
      <c r="P42" s="68"/>
    </row>
    <row r="43" spans="1:11" ht="12.75">
      <c r="A43" s="559" t="s">
        <v>991</v>
      </c>
      <c r="B43" s="559"/>
      <c r="C43" s="559"/>
      <c r="F43" s="559" t="s">
        <v>992</v>
      </c>
      <c r="G43" s="559"/>
      <c r="J43" s="559" t="s">
        <v>993</v>
      </c>
      <c r="K43" s="559"/>
    </row>
    <row r="44" spans="1:11" ht="12.75">
      <c r="A44" s="559" t="s">
        <v>994</v>
      </c>
      <c r="B44" s="559"/>
      <c r="C44" s="559"/>
      <c r="F44" s="559" t="s">
        <v>995</v>
      </c>
      <c r="G44" s="559"/>
      <c r="J44" s="559" t="s">
        <v>995</v>
      </c>
      <c r="K44" s="559"/>
    </row>
    <row r="45" spans="1:10" ht="12.75">
      <c r="A45" s="687"/>
      <c r="B45" s="687"/>
      <c r="C45" s="687"/>
      <c r="D45" s="687"/>
      <c r="E45" s="687"/>
      <c r="F45" s="687"/>
      <c r="G45" s="687"/>
      <c r="H45" s="687"/>
      <c r="I45" s="687"/>
      <c r="J45" s="687"/>
    </row>
  </sheetData>
  <sheetProtection/>
  <mergeCells count="26">
    <mergeCell ref="A45:J45"/>
    <mergeCell ref="K9:K10"/>
    <mergeCell ref="A36:B36"/>
    <mergeCell ref="A42:C42"/>
    <mergeCell ref="F42:G42"/>
    <mergeCell ref="J42:K42"/>
    <mergeCell ref="A43:C43"/>
    <mergeCell ref="F43:G43"/>
    <mergeCell ref="J43:K43"/>
    <mergeCell ref="A44:C44"/>
    <mergeCell ref="A9:A10"/>
    <mergeCell ref="B9:B10"/>
    <mergeCell ref="C9:D9"/>
    <mergeCell ref="E9:F9"/>
    <mergeCell ref="G9:H9"/>
    <mergeCell ref="I9:J9"/>
    <mergeCell ref="A5:K5"/>
    <mergeCell ref="A3:K3"/>
    <mergeCell ref="A2:K2"/>
    <mergeCell ref="F44:G44"/>
    <mergeCell ref="J44:K44"/>
    <mergeCell ref="D1:E1"/>
    <mergeCell ref="J1:K1"/>
    <mergeCell ref="A7:B7"/>
    <mergeCell ref="I7:K7"/>
    <mergeCell ref="C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8"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O40"/>
  <sheetViews>
    <sheetView view="pageBreakPreview" zoomScale="70" zoomScaleSheetLayoutView="70" zoomScalePageLayoutView="0" workbookViewId="0" topLeftCell="A1">
      <selection activeCell="T54" sqref="T54"/>
    </sheetView>
  </sheetViews>
  <sheetFormatPr defaultColWidth="9.140625" defaultRowHeight="12.75"/>
  <cols>
    <col min="1" max="1" width="7.140625" style="12" customWidth="1"/>
    <col min="2" max="2" width="14.8515625" style="12" customWidth="1"/>
    <col min="3" max="3" width="14.57421875" style="12" customWidth="1"/>
    <col min="4" max="4" width="16.57421875" style="511" customWidth="1"/>
    <col min="5" max="8" width="18.421875" style="511" customWidth="1"/>
    <col min="9" max="16384" width="9.140625" style="12" customWidth="1"/>
  </cols>
  <sheetData>
    <row r="1" spans="1:8" ht="12.75">
      <c r="A1" s="239"/>
      <c r="B1" s="239"/>
      <c r="C1" s="239"/>
      <c r="D1" s="239"/>
      <c r="E1" s="239"/>
      <c r="F1" s="239"/>
      <c r="G1" s="239"/>
      <c r="H1" s="318" t="s">
        <v>523</v>
      </c>
    </row>
    <row r="2" spans="1:15" ht="18">
      <c r="A2" s="823" t="s">
        <v>0</v>
      </c>
      <c r="B2" s="823"/>
      <c r="C2" s="823"/>
      <c r="D2" s="823"/>
      <c r="E2" s="823"/>
      <c r="F2" s="823"/>
      <c r="G2" s="823"/>
      <c r="H2" s="823"/>
      <c r="I2" s="171"/>
      <c r="J2" s="171"/>
      <c r="K2" s="171"/>
      <c r="L2" s="171"/>
      <c r="M2" s="171"/>
      <c r="N2" s="171"/>
      <c r="O2" s="171"/>
    </row>
    <row r="3" spans="1:15" ht="21">
      <c r="A3" s="824" t="s">
        <v>684</v>
      </c>
      <c r="B3" s="824"/>
      <c r="C3" s="824"/>
      <c r="D3" s="824"/>
      <c r="E3" s="824"/>
      <c r="F3" s="824"/>
      <c r="G3" s="824"/>
      <c r="H3" s="824"/>
      <c r="I3" s="172"/>
      <c r="J3" s="172"/>
      <c r="K3" s="172"/>
      <c r="L3" s="172"/>
      <c r="M3" s="172"/>
      <c r="N3" s="172"/>
      <c r="O3" s="172"/>
    </row>
    <row r="4" spans="1:15" ht="15">
      <c r="A4" s="319"/>
      <c r="B4" s="319"/>
      <c r="C4" s="319"/>
      <c r="D4" s="319"/>
      <c r="E4" s="319"/>
      <c r="F4" s="319"/>
      <c r="G4" s="319"/>
      <c r="H4" s="319"/>
      <c r="I4" s="143"/>
      <c r="J4" s="143"/>
      <c r="K4" s="143"/>
      <c r="L4" s="143"/>
      <c r="M4" s="143"/>
      <c r="N4" s="143"/>
      <c r="O4" s="143"/>
    </row>
    <row r="5" spans="1:15" ht="18">
      <c r="A5" s="823" t="s">
        <v>522</v>
      </c>
      <c r="B5" s="823"/>
      <c r="C5" s="823"/>
      <c r="D5" s="823"/>
      <c r="E5" s="823"/>
      <c r="F5" s="823"/>
      <c r="G5" s="823"/>
      <c r="H5" s="823"/>
      <c r="I5" s="171"/>
      <c r="J5" s="171"/>
      <c r="K5" s="171"/>
      <c r="L5" s="171"/>
      <c r="M5" s="171"/>
      <c r="N5" s="171"/>
      <c r="O5" s="171"/>
    </row>
    <row r="6" spans="1:15" ht="15">
      <c r="A6" s="320" t="s">
        <v>262</v>
      </c>
      <c r="B6" s="320"/>
      <c r="C6" s="319"/>
      <c r="D6" s="319"/>
      <c r="E6" s="319"/>
      <c r="F6" s="722" t="s">
        <v>959</v>
      </c>
      <c r="G6" s="722"/>
      <c r="H6" s="722"/>
      <c r="I6" s="143"/>
      <c r="J6" s="143"/>
      <c r="K6" s="143"/>
      <c r="L6" s="173"/>
      <c r="M6" s="173"/>
      <c r="N6" s="819"/>
      <c r="O6" s="819"/>
    </row>
    <row r="7" spans="1:8" ht="16.5" customHeight="1">
      <c r="A7" s="808" t="s">
        <v>1</v>
      </c>
      <c r="B7" s="808" t="s">
        <v>2</v>
      </c>
      <c r="C7" s="820" t="s">
        <v>388</v>
      </c>
      <c r="D7" s="825" t="s">
        <v>499</v>
      </c>
      <c r="E7" s="826"/>
      <c r="F7" s="826"/>
      <c r="G7" s="826"/>
      <c r="H7" s="827"/>
    </row>
    <row r="8" spans="1:8" ht="34.5" customHeight="1">
      <c r="A8" s="808"/>
      <c r="B8" s="808"/>
      <c r="C8" s="820"/>
      <c r="D8" s="507" t="s">
        <v>500</v>
      </c>
      <c r="E8" s="507" t="s">
        <v>501</v>
      </c>
      <c r="F8" s="507" t="s">
        <v>502</v>
      </c>
      <c r="G8" s="507" t="s">
        <v>710</v>
      </c>
      <c r="H8" s="507" t="s">
        <v>41</v>
      </c>
    </row>
    <row r="9" spans="1:8" s="349" customFormat="1" ht="15">
      <c r="A9" s="348">
        <v>1</v>
      </c>
      <c r="B9" s="348">
        <v>2</v>
      </c>
      <c r="C9" s="348">
        <v>3</v>
      </c>
      <c r="D9" s="348">
        <v>4</v>
      </c>
      <c r="E9" s="348">
        <v>5</v>
      </c>
      <c r="F9" s="348">
        <v>6</v>
      </c>
      <c r="G9" s="348">
        <v>7</v>
      </c>
      <c r="H9" s="348">
        <v>8</v>
      </c>
    </row>
    <row r="10" spans="1:8" ht="15">
      <c r="A10" s="14">
        <v>1</v>
      </c>
      <c r="B10" s="245" t="s">
        <v>831</v>
      </c>
      <c r="C10" s="15">
        <f>'AT-3'!F11</f>
        <v>2486</v>
      </c>
      <c r="D10" s="275">
        <v>166</v>
      </c>
      <c r="E10" s="275">
        <v>0</v>
      </c>
      <c r="F10" s="275">
        <v>2320</v>
      </c>
      <c r="G10" s="508">
        <v>0</v>
      </c>
      <c r="H10" s="508">
        <f aca="true" t="shared" si="0" ref="H10:H32">C10-D10-E10-F10-G10</f>
        <v>0</v>
      </c>
    </row>
    <row r="11" spans="1:8" ht="15">
      <c r="A11" s="14">
        <v>2</v>
      </c>
      <c r="B11" s="245" t="s">
        <v>832</v>
      </c>
      <c r="C11" s="15">
        <f>'AT-3'!F12</f>
        <v>996</v>
      </c>
      <c r="D11" s="275">
        <v>3</v>
      </c>
      <c r="E11" s="275">
        <v>0</v>
      </c>
      <c r="F11" s="275">
        <v>993</v>
      </c>
      <c r="G11" s="508">
        <v>0</v>
      </c>
      <c r="H11" s="508">
        <f t="shared" si="0"/>
        <v>0</v>
      </c>
    </row>
    <row r="12" spans="1:8" ht="15">
      <c r="A12" s="14">
        <v>3</v>
      </c>
      <c r="B12" s="245" t="s">
        <v>833</v>
      </c>
      <c r="C12" s="15">
        <f>'AT-3'!F13</f>
        <v>580</v>
      </c>
      <c r="D12" s="275">
        <v>0</v>
      </c>
      <c r="E12" s="275">
        <v>0</v>
      </c>
      <c r="F12" s="275">
        <v>580</v>
      </c>
      <c r="G12" s="508">
        <v>0</v>
      </c>
      <c r="H12" s="508">
        <f t="shared" si="0"/>
        <v>0</v>
      </c>
    </row>
    <row r="13" spans="1:8" ht="15">
      <c r="A13" s="14">
        <v>4</v>
      </c>
      <c r="B13" s="245" t="s">
        <v>834</v>
      </c>
      <c r="C13" s="15">
        <f>'AT-3'!F14</f>
        <v>1731</v>
      </c>
      <c r="D13" s="509">
        <v>805</v>
      </c>
      <c r="E13" s="275">
        <v>0</v>
      </c>
      <c r="F13" s="275">
        <v>926</v>
      </c>
      <c r="G13" s="508">
        <v>0</v>
      </c>
      <c r="H13" s="508">
        <f t="shared" si="0"/>
        <v>0</v>
      </c>
    </row>
    <row r="14" spans="1:8" ht="15">
      <c r="A14" s="14">
        <v>5</v>
      </c>
      <c r="B14" s="245" t="s">
        <v>835</v>
      </c>
      <c r="C14" s="15">
        <f>'AT-3'!F15</f>
        <v>1078</v>
      </c>
      <c r="D14" s="275">
        <v>0</v>
      </c>
      <c r="E14" s="275">
        <v>0</v>
      </c>
      <c r="F14" s="275">
        <v>1078</v>
      </c>
      <c r="G14" s="508">
        <v>0</v>
      </c>
      <c r="H14" s="508">
        <f t="shared" si="0"/>
        <v>0</v>
      </c>
    </row>
    <row r="15" spans="1:8" ht="15">
      <c r="A15" s="14">
        <v>6</v>
      </c>
      <c r="B15" s="245" t="s">
        <v>836</v>
      </c>
      <c r="C15" s="15">
        <f>'AT-3'!F16</f>
        <v>1954</v>
      </c>
      <c r="D15" s="275">
        <v>0</v>
      </c>
      <c r="E15" s="275">
        <v>0</v>
      </c>
      <c r="F15" s="275">
        <v>1627</v>
      </c>
      <c r="G15" s="508">
        <v>327</v>
      </c>
      <c r="H15" s="508">
        <f t="shared" si="0"/>
        <v>0</v>
      </c>
    </row>
    <row r="16" spans="1:8" ht="15">
      <c r="A16" s="14">
        <v>7</v>
      </c>
      <c r="B16" s="245" t="s">
        <v>837</v>
      </c>
      <c r="C16" s="15">
        <f>'AT-3'!F17</f>
        <v>1660</v>
      </c>
      <c r="D16" s="275">
        <v>307</v>
      </c>
      <c r="E16" s="275">
        <v>0</v>
      </c>
      <c r="F16" s="275">
        <v>1269</v>
      </c>
      <c r="G16" s="508">
        <v>84</v>
      </c>
      <c r="H16" s="508">
        <f t="shared" si="0"/>
        <v>0</v>
      </c>
    </row>
    <row r="17" spans="1:8" ht="15">
      <c r="A17" s="14">
        <v>8</v>
      </c>
      <c r="B17" s="245" t="s">
        <v>838</v>
      </c>
      <c r="C17" s="15">
        <f>'AT-3'!F18</f>
        <v>2252</v>
      </c>
      <c r="D17" s="275">
        <v>83</v>
      </c>
      <c r="E17" s="275">
        <v>0</v>
      </c>
      <c r="F17" s="275">
        <v>2169</v>
      </c>
      <c r="G17" s="508">
        <v>0</v>
      </c>
      <c r="H17" s="508">
        <f t="shared" si="0"/>
        <v>0</v>
      </c>
    </row>
    <row r="18" spans="1:8" ht="15">
      <c r="A18" s="14">
        <v>9</v>
      </c>
      <c r="B18" s="245" t="s">
        <v>839</v>
      </c>
      <c r="C18" s="15">
        <f>'AT-3'!F19</f>
        <v>2574</v>
      </c>
      <c r="D18" s="275">
        <v>193</v>
      </c>
      <c r="E18" s="275">
        <v>0</v>
      </c>
      <c r="F18" s="275">
        <v>2381</v>
      </c>
      <c r="G18" s="508">
        <v>0</v>
      </c>
      <c r="H18" s="508">
        <f t="shared" si="0"/>
        <v>0</v>
      </c>
    </row>
    <row r="19" spans="1:8" ht="15">
      <c r="A19" s="14">
        <v>10</v>
      </c>
      <c r="B19" s="245" t="s">
        <v>840</v>
      </c>
      <c r="C19" s="15">
        <f>'AT-3'!F20</f>
        <v>1175</v>
      </c>
      <c r="D19" s="275">
        <v>0</v>
      </c>
      <c r="E19" s="275">
        <v>0</v>
      </c>
      <c r="F19" s="275">
        <v>1022</v>
      </c>
      <c r="G19" s="508">
        <v>0</v>
      </c>
      <c r="H19" s="508">
        <f t="shared" si="0"/>
        <v>153</v>
      </c>
    </row>
    <row r="20" spans="1:8" ht="15">
      <c r="A20" s="14">
        <v>11</v>
      </c>
      <c r="B20" s="245" t="s">
        <v>841</v>
      </c>
      <c r="C20" s="15">
        <f>'AT-3'!F21</f>
        <v>1533</v>
      </c>
      <c r="D20" s="275">
        <v>0</v>
      </c>
      <c r="E20" s="275">
        <v>0</v>
      </c>
      <c r="F20" s="275">
        <v>1533</v>
      </c>
      <c r="G20" s="508">
        <v>0</v>
      </c>
      <c r="H20" s="508">
        <f t="shared" si="0"/>
        <v>0</v>
      </c>
    </row>
    <row r="21" spans="1:8" ht="15">
      <c r="A21" s="14">
        <v>12</v>
      </c>
      <c r="B21" s="245" t="s">
        <v>842</v>
      </c>
      <c r="C21" s="15">
        <f>'AT-3'!F22</f>
        <v>1599</v>
      </c>
      <c r="D21" s="275">
        <v>5</v>
      </c>
      <c r="E21" s="275">
        <v>0</v>
      </c>
      <c r="F21" s="275">
        <v>411</v>
      </c>
      <c r="G21" s="508">
        <v>0</v>
      </c>
      <c r="H21" s="508">
        <f>C21-D21-E21-F21-G21</f>
        <v>1183</v>
      </c>
    </row>
    <row r="22" spans="1:8" ht="15">
      <c r="A22" s="14">
        <v>13</v>
      </c>
      <c r="B22" s="245" t="s">
        <v>843</v>
      </c>
      <c r="C22" s="15">
        <f>'AT-3'!F23</f>
        <v>700</v>
      </c>
      <c r="D22" s="275">
        <v>13</v>
      </c>
      <c r="E22" s="275">
        <v>0</v>
      </c>
      <c r="F22" s="275">
        <v>687</v>
      </c>
      <c r="G22" s="508">
        <v>0</v>
      </c>
      <c r="H22" s="508">
        <f t="shared" si="0"/>
        <v>0</v>
      </c>
    </row>
    <row r="23" spans="1:8" ht="15">
      <c r="A23" s="14">
        <v>14</v>
      </c>
      <c r="B23" s="245" t="s">
        <v>844</v>
      </c>
      <c r="C23" s="15">
        <f>'AT-3'!F24</f>
        <v>723</v>
      </c>
      <c r="D23" s="275">
        <v>169</v>
      </c>
      <c r="E23" s="275">
        <v>0</v>
      </c>
      <c r="F23" s="275">
        <v>518</v>
      </c>
      <c r="G23" s="508">
        <v>0</v>
      </c>
      <c r="H23" s="508">
        <f t="shared" si="0"/>
        <v>36</v>
      </c>
    </row>
    <row r="24" spans="1:8" ht="15">
      <c r="A24" s="14">
        <v>15</v>
      </c>
      <c r="B24" s="245" t="s">
        <v>845</v>
      </c>
      <c r="C24" s="15">
        <f>'AT-3'!F25</f>
        <v>1794</v>
      </c>
      <c r="D24" s="275">
        <v>200</v>
      </c>
      <c r="E24" s="275">
        <v>0</v>
      </c>
      <c r="F24" s="275">
        <v>1594</v>
      </c>
      <c r="G24" s="508">
        <v>0</v>
      </c>
      <c r="H24" s="508">
        <f t="shared" si="0"/>
        <v>0</v>
      </c>
    </row>
    <row r="25" spans="1:8" ht="15">
      <c r="A25" s="14">
        <v>16</v>
      </c>
      <c r="B25" s="245" t="s">
        <v>846</v>
      </c>
      <c r="C25" s="15">
        <f>'AT-3'!F26</f>
        <v>3362</v>
      </c>
      <c r="D25" s="275">
        <v>26</v>
      </c>
      <c r="E25" s="275">
        <v>0</v>
      </c>
      <c r="F25" s="275">
        <v>1496</v>
      </c>
      <c r="G25" s="508">
        <v>0</v>
      </c>
      <c r="H25" s="508">
        <f t="shared" si="0"/>
        <v>1840</v>
      </c>
    </row>
    <row r="26" spans="1:8" ht="15">
      <c r="A26" s="14">
        <v>17</v>
      </c>
      <c r="B26" s="245" t="s">
        <v>847</v>
      </c>
      <c r="C26" s="15">
        <f>'AT-3'!F27</f>
        <v>1832</v>
      </c>
      <c r="D26" s="275">
        <v>64</v>
      </c>
      <c r="E26" s="275">
        <v>0</v>
      </c>
      <c r="F26" s="275">
        <v>83</v>
      </c>
      <c r="G26" s="508">
        <v>0</v>
      </c>
      <c r="H26" s="508">
        <f t="shared" si="0"/>
        <v>1685</v>
      </c>
    </row>
    <row r="27" spans="1:8" ht="15">
      <c r="A27" s="14">
        <v>18</v>
      </c>
      <c r="B27" s="245" t="s">
        <v>848</v>
      </c>
      <c r="C27" s="15">
        <f>'AT-3'!F28</f>
        <v>1730</v>
      </c>
      <c r="D27" s="275">
        <v>2</v>
      </c>
      <c r="E27" s="275">
        <v>0</v>
      </c>
      <c r="F27" s="275">
        <v>1176</v>
      </c>
      <c r="G27" s="508">
        <v>0</v>
      </c>
      <c r="H27" s="508">
        <f t="shared" si="0"/>
        <v>552</v>
      </c>
    </row>
    <row r="28" spans="1:8" ht="15">
      <c r="A28" s="14">
        <v>19</v>
      </c>
      <c r="B28" s="245" t="s">
        <v>849</v>
      </c>
      <c r="C28" s="15">
        <f>'AT-3'!F29</f>
        <v>2497</v>
      </c>
      <c r="D28" s="275">
        <v>0</v>
      </c>
      <c r="E28" s="275">
        <v>0</v>
      </c>
      <c r="F28" s="275">
        <v>2497</v>
      </c>
      <c r="G28" s="508">
        <v>0</v>
      </c>
      <c r="H28" s="508">
        <f t="shared" si="0"/>
        <v>0</v>
      </c>
    </row>
    <row r="29" spans="1:8" ht="15">
      <c r="A29" s="14">
        <v>20</v>
      </c>
      <c r="B29" s="245" t="s">
        <v>850</v>
      </c>
      <c r="C29" s="15">
        <f>'AT-3'!F30</f>
        <v>1166</v>
      </c>
      <c r="D29" s="275">
        <v>0</v>
      </c>
      <c r="E29" s="275">
        <v>0</v>
      </c>
      <c r="F29" s="275">
        <v>1166</v>
      </c>
      <c r="G29" s="508">
        <v>0</v>
      </c>
      <c r="H29" s="508">
        <f t="shared" si="0"/>
        <v>0</v>
      </c>
    </row>
    <row r="30" spans="1:8" ht="15">
      <c r="A30" s="14">
        <v>21</v>
      </c>
      <c r="B30" s="245" t="s">
        <v>851</v>
      </c>
      <c r="C30" s="15">
        <f>'AT-3'!F31</f>
        <v>1438</v>
      </c>
      <c r="D30" s="275">
        <v>0</v>
      </c>
      <c r="E30" s="275">
        <v>0</v>
      </c>
      <c r="F30" s="275">
        <v>251</v>
      </c>
      <c r="G30" s="508">
        <v>0</v>
      </c>
      <c r="H30" s="508">
        <f t="shared" si="0"/>
        <v>1187</v>
      </c>
    </row>
    <row r="31" spans="1:8" ht="15">
      <c r="A31" s="14">
        <v>22</v>
      </c>
      <c r="B31" s="245" t="s">
        <v>852</v>
      </c>
      <c r="C31" s="15">
        <f>'AT-3'!F32</f>
        <v>1061</v>
      </c>
      <c r="D31" s="510">
        <v>2</v>
      </c>
      <c r="E31" s="510">
        <v>0</v>
      </c>
      <c r="F31" s="275">
        <v>1059</v>
      </c>
      <c r="G31" s="508">
        <v>0</v>
      </c>
      <c r="H31" s="508">
        <f t="shared" si="0"/>
        <v>0</v>
      </c>
    </row>
    <row r="32" spans="1:8" ht="15">
      <c r="A32" s="14">
        <v>23</v>
      </c>
      <c r="B32" s="245" t="s">
        <v>853</v>
      </c>
      <c r="C32" s="15">
        <f>'AT-3'!F33</f>
        <v>1727</v>
      </c>
      <c r="D32" s="510">
        <v>63</v>
      </c>
      <c r="E32" s="510">
        <v>0</v>
      </c>
      <c r="F32" s="275">
        <v>1664</v>
      </c>
      <c r="G32" s="508">
        <v>0</v>
      </c>
      <c r="H32" s="508">
        <f t="shared" si="0"/>
        <v>0</v>
      </c>
    </row>
    <row r="33" spans="1:8" ht="15">
      <c r="A33" s="14">
        <v>24</v>
      </c>
      <c r="B33" s="245" t="s">
        <v>854</v>
      </c>
      <c r="C33" s="15">
        <f>'AT-3'!F34</f>
        <v>2092</v>
      </c>
      <c r="D33" s="510">
        <v>0</v>
      </c>
      <c r="E33" s="510">
        <v>0</v>
      </c>
      <c r="F33" s="275">
        <v>2092</v>
      </c>
      <c r="G33" s="508">
        <v>0</v>
      </c>
      <c r="H33" s="508">
        <f>C33-D33-E33-F33-G33</f>
        <v>0</v>
      </c>
    </row>
    <row r="34" spans="1:8" ht="15" customHeight="1">
      <c r="A34" s="821" t="s">
        <v>13</v>
      </c>
      <c r="B34" s="822"/>
      <c r="C34" s="109">
        <f aca="true" t="shared" si="1" ref="C34:H34">SUM(C10:C33)</f>
        <v>39740</v>
      </c>
      <c r="D34" s="109">
        <f t="shared" si="1"/>
        <v>2101</v>
      </c>
      <c r="E34" s="109">
        <f t="shared" si="1"/>
        <v>0</v>
      </c>
      <c r="F34" s="109">
        <f t="shared" si="1"/>
        <v>30592</v>
      </c>
      <c r="G34" s="109">
        <f t="shared" si="1"/>
        <v>411</v>
      </c>
      <c r="H34" s="109">
        <f t="shared" si="1"/>
        <v>6636</v>
      </c>
    </row>
    <row r="35" spans="1:8" ht="15" customHeight="1">
      <c r="A35" s="148"/>
      <c r="B35" s="148"/>
      <c r="C35" s="148"/>
      <c r="D35" s="149"/>
      <c r="E35" s="149"/>
      <c r="F35" s="149"/>
      <c r="G35" s="149"/>
      <c r="H35" s="149"/>
    </row>
    <row r="36" spans="1:8" ht="15" customHeight="1">
      <c r="A36" s="148"/>
      <c r="B36" s="148"/>
      <c r="C36" s="148"/>
      <c r="D36" s="149"/>
      <c r="E36" s="149"/>
      <c r="F36" s="149"/>
      <c r="G36" s="149"/>
      <c r="H36" s="149"/>
    </row>
    <row r="37" spans="1:9" ht="15" customHeight="1">
      <c r="A37" s="148"/>
      <c r="B37" s="148"/>
      <c r="C37" s="148"/>
      <c r="D37" s="161"/>
      <c r="E37" s="161"/>
      <c r="F37" s="161"/>
      <c r="G37" s="161"/>
      <c r="H37" s="161"/>
      <c r="I37" s="161"/>
    </row>
    <row r="38" spans="1:9" ht="12.75">
      <c r="A38" s="559" t="s">
        <v>989</v>
      </c>
      <c r="B38" s="559"/>
      <c r="C38" s="359"/>
      <c r="D38" s="559" t="s">
        <v>990</v>
      </c>
      <c r="E38" s="559"/>
      <c r="F38" s="359"/>
      <c r="G38" s="559" t="s">
        <v>996</v>
      </c>
      <c r="H38" s="559"/>
      <c r="I38" s="161"/>
    </row>
    <row r="39" spans="1:9" ht="12.75">
      <c r="A39" s="559" t="s">
        <v>991</v>
      </c>
      <c r="B39" s="559"/>
      <c r="C39" s="359"/>
      <c r="D39" s="559" t="s">
        <v>992</v>
      </c>
      <c r="E39" s="559"/>
      <c r="F39" s="359"/>
      <c r="G39" s="559" t="s">
        <v>993</v>
      </c>
      <c r="H39" s="559"/>
      <c r="I39" s="161"/>
    </row>
    <row r="40" spans="1:9" ht="12.75">
      <c r="A40" s="559" t="s">
        <v>994</v>
      </c>
      <c r="B40" s="559"/>
      <c r="C40" s="359"/>
      <c r="D40" s="559" t="s">
        <v>995</v>
      </c>
      <c r="E40" s="559"/>
      <c r="F40" s="359"/>
      <c r="G40" s="559" t="s">
        <v>995</v>
      </c>
      <c r="H40" s="559"/>
      <c r="I40" s="148"/>
    </row>
  </sheetData>
  <sheetProtection/>
  <mergeCells count="19">
    <mergeCell ref="D39:E39"/>
    <mergeCell ref="G39:H39"/>
    <mergeCell ref="A2:H2"/>
    <mergeCell ref="A3:H3"/>
    <mergeCell ref="A5:H5"/>
    <mergeCell ref="D7:H7"/>
    <mergeCell ref="A38:B38"/>
    <mergeCell ref="D38:E38"/>
    <mergeCell ref="G38:H38"/>
    <mergeCell ref="A40:B40"/>
    <mergeCell ref="D40:E40"/>
    <mergeCell ref="G40:H40"/>
    <mergeCell ref="N6:O6"/>
    <mergeCell ref="A7:A8"/>
    <mergeCell ref="B7:B8"/>
    <mergeCell ref="C7:C8"/>
    <mergeCell ref="F6:H6"/>
    <mergeCell ref="A34:B34"/>
    <mergeCell ref="A39:B3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3"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T55"/>
  <sheetViews>
    <sheetView view="pageBreakPreview" zoomScale="70" zoomScaleNormal="80" zoomScaleSheetLayoutView="70" zoomScalePageLayoutView="0" workbookViewId="0" topLeftCell="A5">
      <selection activeCell="O58" sqref="O58"/>
    </sheetView>
  </sheetViews>
  <sheetFormatPr defaultColWidth="9.140625" defaultRowHeight="12.75"/>
  <cols>
    <col min="1" max="1" width="9.28125" style="11" customWidth="1"/>
    <col min="2" max="3" width="8.57421875" style="11" customWidth="1"/>
    <col min="4" max="4" width="12.00390625" style="11" customWidth="1"/>
    <col min="5" max="5" width="8.57421875" style="11" customWidth="1"/>
    <col min="6" max="6" width="9.57421875" style="11" customWidth="1"/>
    <col min="7" max="7" width="8.57421875" style="11" customWidth="1"/>
    <col min="8" max="8" width="11.7109375" style="11" customWidth="1"/>
    <col min="9" max="9" width="8.57421875" style="11" customWidth="1"/>
    <col min="10" max="12" width="10.7109375" style="11" customWidth="1"/>
    <col min="13" max="15" width="8.57421875" style="11" customWidth="1"/>
    <col min="16" max="16" width="8.421875" style="11" customWidth="1"/>
    <col min="17" max="17" width="8.57421875" style="11" customWidth="1"/>
    <col min="18" max="18" width="8.7109375" style="11" customWidth="1"/>
    <col min="19" max="19" width="8.57421875" style="11" customWidth="1"/>
    <col min="20" max="16384" width="9.140625" style="11" customWidth="1"/>
  </cols>
  <sheetData>
    <row r="1" spans="1:19" ht="12.75">
      <c r="A1" s="11" t="s">
        <v>9</v>
      </c>
      <c r="H1" s="594"/>
      <c r="I1" s="594"/>
      <c r="R1" s="589" t="s">
        <v>50</v>
      </c>
      <c r="S1" s="589"/>
    </row>
    <row r="2" spans="1:19" s="10" customFormat="1" ht="15.75">
      <c r="A2" s="590" t="s">
        <v>0</v>
      </c>
      <c r="B2" s="590"/>
      <c r="C2" s="590"/>
      <c r="D2" s="590"/>
      <c r="E2" s="590"/>
      <c r="F2" s="590"/>
      <c r="G2" s="590"/>
      <c r="H2" s="590"/>
      <c r="I2" s="590"/>
      <c r="J2" s="590"/>
      <c r="K2" s="590"/>
      <c r="L2" s="590"/>
      <c r="M2" s="590"/>
      <c r="N2" s="590"/>
      <c r="O2" s="590"/>
      <c r="P2" s="590"/>
      <c r="Q2" s="590"/>
      <c r="R2" s="590"/>
      <c r="S2" s="590"/>
    </row>
    <row r="3" spans="1:19" s="10" customFormat="1" ht="20.25">
      <c r="A3" s="591" t="s">
        <v>645</v>
      </c>
      <c r="B3" s="591"/>
      <c r="C3" s="591"/>
      <c r="D3" s="591"/>
      <c r="E3" s="591"/>
      <c r="F3" s="591"/>
      <c r="G3" s="591"/>
      <c r="H3" s="591"/>
      <c r="I3" s="591"/>
      <c r="J3" s="591"/>
      <c r="K3" s="591"/>
      <c r="L3" s="591"/>
      <c r="M3" s="591"/>
      <c r="N3" s="591"/>
      <c r="O3" s="591"/>
      <c r="P3" s="591"/>
      <c r="Q3" s="591"/>
      <c r="R3" s="591"/>
      <c r="S3" s="591"/>
    </row>
    <row r="5" spans="1:19" s="10" customFormat="1" ht="15.75">
      <c r="A5" s="592" t="s">
        <v>646</v>
      </c>
      <c r="B5" s="592"/>
      <c r="C5" s="592"/>
      <c r="D5" s="592"/>
      <c r="E5" s="592"/>
      <c r="F5" s="592"/>
      <c r="G5" s="592"/>
      <c r="H5" s="592"/>
      <c r="I5" s="592"/>
      <c r="J5" s="592"/>
      <c r="K5" s="592"/>
      <c r="L5" s="592"/>
      <c r="M5" s="592"/>
      <c r="N5" s="592"/>
      <c r="O5" s="592"/>
      <c r="P5" s="592"/>
      <c r="Q5" s="592"/>
      <c r="R5" s="592"/>
      <c r="S5" s="592"/>
    </row>
    <row r="6" spans="1:2" ht="12.75">
      <c r="A6" s="593" t="s">
        <v>956</v>
      </c>
      <c r="B6" s="593"/>
    </row>
    <row r="7" spans="1:19" ht="12.75">
      <c r="A7" s="593" t="s">
        <v>164</v>
      </c>
      <c r="B7" s="593"/>
      <c r="C7" s="593"/>
      <c r="D7" s="593"/>
      <c r="E7" s="593"/>
      <c r="F7" s="593"/>
      <c r="G7" s="593"/>
      <c r="H7" s="593"/>
      <c r="I7" s="593"/>
      <c r="R7" s="24"/>
      <c r="S7" s="24"/>
    </row>
    <row r="9" spans="1:12" ht="18" customHeight="1">
      <c r="A9" s="5"/>
      <c r="B9" s="573" t="s">
        <v>37</v>
      </c>
      <c r="C9" s="573"/>
      <c r="D9" s="573" t="s">
        <v>38</v>
      </c>
      <c r="E9" s="573"/>
      <c r="F9" s="573" t="s">
        <v>39</v>
      </c>
      <c r="G9" s="573"/>
      <c r="H9" s="596" t="s">
        <v>40</v>
      </c>
      <c r="I9" s="596"/>
      <c r="J9" s="573" t="s">
        <v>41</v>
      </c>
      <c r="K9" s="573"/>
      <c r="L9" s="22" t="s">
        <v>13</v>
      </c>
    </row>
    <row r="10" spans="1:12" s="61" customFormat="1" ht="13.5" customHeight="1">
      <c r="A10" s="62">
        <v>1</v>
      </c>
      <c r="B10" s="586">
        <v>2</v>
      </c>
      <c r="C10" s="586"/>
      <c r="D10" s="586">
        <v>3</v>
      </c>
      <c r="E10" s="586"/>
      <c r="F10" s="586">
        <v>4</v>
      </c>
      <c r="G10" s="586"/>
      <c r="H10" s="586">
        <v>5</v>
      </c>
      <c r="I10" s="586"/>
      <c r="J10" s="586">
        <v>6</v>
      </c>
      <c r="K10" s="586"/>
      <c r="L10" s="62">
        <v>7</v>
      </c>
    </row>
    <row r="11" spans="1:12" ht="12.75">
      <c r="A11" s="3" t="s">
        <v>42</v>
      </c>
      <c r="B11" s="584">
        <v>1</v>
      </c>
      <c r="C11" s="584"/>
      <c r="D11" s="584">
        <v>141</v>
      </c>
      <c r="E11" s="584"/>
      <c r="F11" s="584">
        <v>43</v>
      </c>
      <c r="G11" s="584"/>
      <c r="H11" s="584">
        <v>23</v>
      </c>
      <c r="I11" s="584"/>
      <c r="J11" s="584">
        <v>1</v>
      </c>
      <c r="K11" s="584"/>
      <c r="L11" s="14">
        <f>SUM(B11:K11)</f>
        <v>209</v>
      </c>
    </row>
    <row r="12" spans="1:12" ht="12.75">
      <c r="A12" s="3" t="s">
        <v>43</v>
      </c>
      <c r="B12" s="584">
        <v>12253</v>
      </c>
      <c r="C12" s="584"/>
      <c r="D12" s="584">
        <v>30091</v>
      </c>
      <c r="E12" s="584"/>
      <c r="F12" s="584">
        <v>24915</v>
      </c>
      <c r="G12" s="584"/>
      <c r="H12" s="584">
        <v>6710</v>
      </c>
      <c r="I12" s="584"/>
      <c r="J12" s="584">
        <v>6110</v>
      </c>
      <c r="K12" s="584"/>
      <c r="L12" s="14">
        <f>SUM(B12:K12)</f>
        <v>80079</v>
      </c>
    </row>
    <row r="13" spans="1:12" ht="12.75">
      <c r="A13" s="3" t="s">
        <v>13</v>
      </c>
      <c r="B13" s="572">
        <f>SUM(B11:B12)</f>
        <v>12254</v>
      </c>
      <c r="C13" s="572"/>
      <c r="D13" s="572">
        <f>SUM(D11:D12)</f>
        <v>30232</v>
      </c>
      <c r="E13" s="572"/>
      <c r="F13" s="572">
        <f>SUM(F11:F12)</f>
        <v>24958</v>
      </c>
      <c r="G13" s="572"/>
      <c r="H13" s="572">
        <f>SUM(H11:H12)</f>
        <v>6733</v>
      </c>
      <c r="I13" s="572"/>
      <c r="J13" s="572">
        <f>SUM(J11:J12)</f>
        <v>6111</v>
      </c>
      <c r="K13" s="572"/>
      <c r="L13" s="3">
        <f>SUM(L11:L12)</f>
        <v>80288</v>
      </c>
    </row>
    <row r="14" spans="1:12" ht="12.75">
      <c r="A14" s="9"/>
      <c r="B14" s="9"/>
      <c r="C14" s="9"/>
      <c r="D14" s="9"/>
      <c r="E14" s="9"/>
      <c r="F14" s="9"/>
      <c r="G14" s="9"/>
      <c r="H14" s="9"/>
      <c r="I14" s="9"/>
      <c r="J14" s="9"/>
      <c r="K14" s="9"/>
      <c r="L14" s="9"/>
    </row>
    <row r="15" spans="1:12" ht="12.75">
      <c r="A15" s="603" t="s">
        <v>429</v>
      </c>
      <c r="B15" s="603"/>
      <c r="C15" s="603"/>
      <c r="D15" s="603"/>
      <c r="E15" s="603"/>
      <c r="F15" s="603"/>
      <c r="G15" s="603"/>
      <c r="H15" s="9"/>
      <c r="I15" s="9"/>
      <c r="J15" s="9"/>
      <c r="K15" s="9"/>
      <c r="L15" s="9"/>
    </row>
    <row r="16" spans="1:12" ht="12.75" customHeight="1">
      <c r="A16" s="605" t="s">
        <v>173</v>
      </c>
      <c r="B16" s="606"/>
      <c r="C16" s="604" t="s">
        <v>202</v>
      </c>
      <c r="D16" s="604"/>
      <c r="E16" s="3" t="s">
        <v>13</v>
      </c>
      <c r="I16" s="9"/>
      <c r="J16" s="9"/>
      <c r="K16" s="9"/>
      <c r="L16" s="9"/>
    </row>
    <row r="17" spans="1:12" ht="12.75">
      <c r="A17" s="587">
        <v>600</v>
      </c>
      <c r="B17" s="588"/>
      <c r="C17" s="587">
        <v>900</v>
      </c>
      <c r="D17" s="588"/>
      <c r="E17" s="208">
        <f>SUM(A17:D17)</f>
        <v>1500</v>
      </c>
      <c r="I17" s="9"/>
      <c r="J17" s="9"/>
      <c r="K17" s="9"/>
      <c r="L17" s="9"/>
    </row>
    <row r="18" spans="1:12" ht="12.75">
      <c r="A18" s="560"/>
      <c r="B18" s="561"/>
      <c r="C18" s="560"/>
      <c r="D18" s="561"/>
      <c r="E18" s="3"/>
      <c r="I18" s="9"/>
      <c r="J18" s="9"/>
      <c r="K18" s="9"/>
      <c r="L18" s="9"/>
    </row>
    <row r="19" spans="1:12" ht="12.75">
      <c r="A19" s="176"/>
      <c r="B19" s="176"/>
      <c r="C19" s="176"/>
      <c r="D19" s="176"/>
      <c r="E19" s="176"/>
      <c r="F19" s="176"/>
      <c r="G19" s="176"/>
      <c r="H19" s="9"/>
      <c r="I19" s="9"/>
      <c r="J19" s="9"/>
      <c r="K19" s="9"/>
      <c r="L19" s="9"/>
    </row>
    <row r="21" spans="1:19" ht="18.75" customHeight="1">
      <c r="A21" s="585" t="s">
        <v>165</v>
      </c>
      <c r="B21" s="585"/>
      <c r="C21" s="585"/>
      <c r="D21" s="585"/>
      <c r="E21" s="585"/>
      <c r="F21" s="585"/>
      <c r="G21" s="585"/>
      <c r="H21" s="585"/>
      <c r="I21" s="585"/>
      <c r="J21" s="585"/>
      <c r="K21" s="585"/>
      <c r="L21" s="585"/>
      <c r="M21" s="585"/>
      <c r="N21" s="585"/>
      <c r="O21" s="585"/>
      <c r="P21" s="585"/>
      <c r="Q21" s="585"/>
      <c r="R21" s="585"/>
      <c r="S21" s="585"/>
    </row>
    <row r="22" spans="1:20" ht="12.75">
      <c r="A22" s="573" t="s">
        <v>17</v>
      </c>
      <c r="B22" s="573" t="s">
        <v>44</v>
      </c>
      <c r="C22" s="573"/>
      <c r="D22" s="573"/>
      <c r="E22" s="583" t="s">
        <v>18</v>
      </c>
      <c r="F22" s="583"/>
      <c r="G22" s="583"/>
      <c r="H22" s="583"/>
      <c r="I22" s="583"/>
      <c r="J22" s="583"/>
      <c r="K22" s="583"/>
      <c r="L22" s="583"/>
      <c r="M22" s="572" t="s">
        <v>19</v>
      </c>
      <c r="N22" s="572"/>
      <c r="O22" s="572"/>
      <c r="P22" s="572"/>
      <c r="Q22" s="572"/>
      <c r="R22" s="572"/>
      <c r="S22" s="572"/>
      <c r="T22" s="572"/>
    </row>
    <row r="23" spans="1:20" ht="33.75" customHeight="1">
      <c r="A23" s="573"/>
      <c r="B23" s="573"/>
      <c r="C23" s="573"/>
      <c r="D23" s="573"/>
      <c r="E23" s="574" t="s">
        <v>129</v>
      </c>
      <c r="F23" s="575"/>
      <c r="G23" s="574" t="s">
        <v>166</v>
      </c>
      <c r="H23" s="575"/>
      <c r="I23" s="573" t="s">
        <v>45</v>
      </c>
      <c r="J23" s="573"/>
      <c r="K23" s="574" t="s">
        <v>87</v>
      </c>
      <c r="L23" s="575"/>
      <c r="M23" s="574" t="s">
        <v>88</v>
      </c>
      <c r="N23" s="575"/>
      <c r="O23" s="574" t="s">
        <v>166</v>
      </c>
      <c r="P23" s="575"/>
      <c r="Q23" s="573" t="s">
        <v>45</v>
      </c>
      <c r="R23" s="573"/>
      <c r="S23" s="573" t="s">
        <v>87</v>
      </c>
      <c r="T23" s="573"/>
    </row>
    <row r="24" spans="1:20" s="61" customFormat="1" ht="15.75" customHeight="1">
      <c r="A24" s="62">
        <v>1</v>
      </c>
      <c r="B24" s="597">
        <v>2</v>
      </c>
      <c r="C24" s="598"/>
      <c r="D24" s="599"/>
      <c r="E24" s="597">
        <v>3</v>
      </c>
      <c r="F24" s="599"/>
      <c r="G24" s="597">
        <v>4</v>
      </c>
      <c r="H24" s="599"/>
      <c r="I24" s="586">
        <v>5</v>
      </c>
      <c r="J24" s="586"/>
      <c r="K24" s="586">
        <v>6</v>
      </c>
      <c r="L24" s="586"/>
      <c r="M24" s="597">
        <v>3</v>
      </c>
      <c r="N24" s="599"/>
      <c r="O24" s="597">
        <v>4</v>
      </c>
      <c r="P24" s="599"/>
      <c r="Q24" s="586">
        <v>5</v>
      </c>
      <c r="R24" s="586"/>
      <c r="S24" s="586">
        <v>6</v>
      </c>
      <c r="T24" s="586"/>
    </row>
    <row r="25" spans="1:20" ht="27.75" customHeight="1">
      <c r="A25" s="60">
        <v>1</v>
      </c>
      <c r="B25" s="600" t="s">
        <v>492</v>
      </c>
      <c r="C25" s="601"/>
      <c r="D25" s="602"/>
      <c r="E25" s="576">
        <v>100</v>
      </c>
      <c r="F25" s="577"/>
      <c r="G25" s="560" t="s">
        <v>357</v>
      </c>
      <c r="H25" s="561"/>
      <c r="I25" s="578">
        <v>340</v>
      </c>
      <c r="J25" s="578"/>
      <c r="K25" s="578">
        <v>8</v>
      </c>
      <c r="L25" s="578"/>
      <c r="M25" s="576">
        <v>150</v>
      </c>
      <c r="N25" s="577"/>
      <c r="O25" s="560" t="s">
        <v>357</v>
      </c>
      <c r="P25" s="561"/>
      <c r="Q25" s="578">
        <v>510</v>
      </c>
      <c r="R25" s="578"/>
      <c r="S25" s="578">
        <v>14</v>
      </c>
      <c r="T25" s="578"/>
    </row>
    <row r="26" spans="1:20" ht="12.75">
      <c r="A26" s="60">
        <v>2</v>
      </c>
      <c r="B26" s="580" t="s">
        <v>46</v>
      </c>
      <c r="C26" s="581"/>
      <c r="D26" s="582"/>
      <c r="E26" s="576">
        <v>20</v>
      </c>
      <c r="F26" s="577"/>
      <c r="G26" s="576">
        <v>1.26</v>
      </c>
      <c r="H26" s="577"/>
      <c r="I26" s="578">
        <v>70</v>
      </c>
      <c r="J26" s="578"/>
      <c r="K26" s="578">
        <v>5</v>
      </c>
      <c r="L26" s="578"/>
      <c r="M26" s="576">
        <v>30</v>
      </c>
      <c r="N26" s="577"/>
      <c r="O26" s="576">
        <v>1.9</v>
      </c>
      <c r="P26" s="577"/>
      <c r="Q26" s="578">
        <v>105</v>
      </c>
      <c r="R26" s="578"/>
      <c r="S26" s="578">
        <v>6.6</v>
      </c>
      <c r="T26" s="578"/>
    </row>
    <row r="27" spans="1:20" ht="12.75">
      <c r="A27" s="60">
        <v>3</v>
      </c>
      <c r="B27" s="580" t="s">
        <v>167</v>
      </c>
      <c r="C27" s="581"/>
      <c r="D27" s="582"/>
      <c r="E27" s="576">
        <v>50</v>
      </c>
      <c r="F27" s="577"/>
      <c r="G27" s="576">
        <v>0.95</v>
      </c>
      <c r="H27" s="577"/>
      <c r="I27" s="578">
        <v>25</v>
      </c>
      <c r="J27" s="578"/>
      <c r="K27" s="578">
        <v>0</v>
      </c>
      <c r="L27" s="578"/>
      <c r="M27" s="576">
        <v>75</v>
      </c>
      <c r="N27" s="577"/>
      <c r="O27" s="576">
        <v>1.43</v>
      </c>
      <c r="P27" s="577"/>
      <c r="Q27" s="578">
        <v>37</v>
      </c>
      <c r="R27" s="578"/>
      <c r="S27" s="578">
        <v>0</v>
      </c>
      <c r="T27" s="578"/>
    </row>
    <row r="28" spans="1:20" ht="12.75">
      <c r="A28" s="60">
        <v>4</v>
      </c>
      <c r="B28" s="580" t="s">
        <v>47</v>
      </c>
      <c r="C28" s="581"/>
      <c r="D28" s="582"/>
      <c r="E28" s="576">
        <v>5</v>
      </c>
      <c r="F28" s="577"/>
      <c r="G28" s="576">
        <v>0.6</v>
      </c>
      <c r="H28" s="577"/>
      <c r="I28" s="578">
        <v>45</v>
      </c>
      <c r="J28" s="578"/>
      <c r="K28" s="578">
        <v>0</v>
      </c>
      <c r="L28" s="578"/>
      <c r="M28" s="576">
        <v>7.5</v>
      </c>
      <c r="N28" s="577"/>
      <c r="O28" s="576">
        <v>0.9</v>
      </c>
      <c r="P28" s="577"/>
      <c r="Q28" s="578">
        <v>68</v>
      </c>
      <c r="R28" s="578"/>
      <c r="S28" s="578">
        <v>0</v>
      </c>
      <c r="T28" s="578"/>
    </row>
    <row r="29" spans="1:20" ht="12.75">
      <c r="A29" s="60">
        <v>5</v>
      </c>
      <c r="B29" s="580" t="s">
        <v>48</v>
      </c>
      <c r="C29" s="581"/>
      <c r="D29" s="582"/>
      <c r="E29" s="576">
        <v>0</v>
      </c>
      <c r="F29" s="577"/>
      <c r="G29" s="576">
        <v>0.73</v>
      </c>
      <c r="H29" s="577"/>
      <c r="I29" s="578">
        <v>0</v>
      </c>
      <c r="J29" s="578"/>
      <c r="K29" s="578">
        <v>0</v>
      </c>
      <c r="L29" s="578"/>
      <c r="M29" s="576">
        <v>0</v>
      </c>
      <c r="N29" s="577"/>
      <c r="O29" s="576">
        <v>1.08</v>
      </c>
      <c r="P29" s="577"/>
      <c r="Q29" s="578">
        <v>0</v>
      </c>
      <c r="R29" s="578"/>
      <c r="S29" s="578">
        <v>0</v>
      </c>
      <c r="T29" s="578"/>
    </row>
    <row r="30" spans="1:20" ht="12.75">
      <c r="A30" s="60">
        <v>6</v>
      </c>
      <c r="B30" s="580" t="s">
        <v>49</v>
      </c>
      <c r="C30" s="581"/>
      <c r="D30" s="582"/>
      <c r="E30" s="576">
        <v>0</v>
      </c>
      <c r="F30" s="577"/>
      <c r="G30" s="576">
        <v>0.59</v>
      </c>
      <c r="H30" s="577"/>
      <c r="I30" s="578">
        <v>0</v>
      </c>
      <c r="J30" s="578"/>
      <c r="K30" s="578">
        <v>0</v>
      </c>
      <c r="L30" s="578"/>
      <c r="M30" s="576">
        <v>0</v>
      </c>
      <c r="N30" s="577"/>
      <c r="O30" s="576">
        <v>0.87</v>
      </c>
      <c r="P30" s="577"/>
      <c r="Q30" s="578">
        <v>0</v>
      </c>
      <c r="R30" s="578"/>
      <c r="S30" s="578">
        <v>0</v>
      </c>
      <c r="T30" s="578"/>
    </row>
    <row r="31" spans="1:20" ht="12.75">
      <c r="A31" s="60">
        <v>7</v>
      </c>
      <c r="B31" s="595" t="s">
        <v>168</v>
      </c>
      <c r="C31" s="595"/>
      <c r="D31" s="595"/>
      <c r="E31" s="578">
        <v>0</v>
      </c>
      <c r="F31" s="578"/>
      <c r="G31" s="578">
        <v>0</v>
      </c>
      <c r="H31" s="578"/>
      <c r="I31" s="578">
        <v>0</v>
      </c>
      <c r="J31" s="578"/>
      <c r="K31" s="578">
        <v>0</v>
      </c>
      <c r="L31" s="578"/>
      <c r="M31" s="578">
        <v>0</v>
      </c>
      <c r="N31" s="578"/>
      <c r="O31" s="578">
        <v>0</v>
      </c>
      <c r="P31" s="578"/>
      <c r="Q31" s="578">
        <v>0</v>
      </c>
      <c r="R31" s="578"/>
      <c r="S31" s="578">
        <v>0</v>
      </c>
      <c r="T31" s="578"/>
    </row>
    <row r="32" spans="1:20" ht="12.75">
      <c r="A32" s="60"/>
      <c r="B32" s="573" t="s">
        <v>13</v>
      </c>
      <c r="C32" s="573"/>
      <c r="D32" s="573"/>
      <c r="E32" s="579">
        <f>SUM(E25:E31)</f>
        <v>175</v>
      </c>
      <c r="F32" s="579"/>
      <c r="G32" s="579">
        <f>SUM(G25:G31)</f>
        <v>4.13</v>
      </c>
      <c r="H32" s="579"/>
      <c r="I32" s="579">
        <f>SUM(I25:I31)</f>
        <v>480</v>
      </c>
      <c r="J32" s="579"/>
      <c r="K32" s="579">
        <f>SUM(K25:K31)</f>
        <v>13</v>
      </c>
      <c r="L32" s="579"/>
      <c r="M32" s="579">
        <f>SUM(M25:M31)</f>
        <v>262.5</v>
      </c>
      <c r="N32" s="579"/>
      <c r="O32" s="579">
        <f>SUM(O25:O31)</f>
        <v>6.180000000000001</v>
      </c>
      <c r="P32" s="579"/>
      <c r="Q32" s="579">
        <f>SUM(Q25:Q31)</f>
        <v>720</v>
      </c>
      <c r="R32" s="579"/>
      <c r="S32" s="579">
        <f>SUM(S25:S31)</f>
        <v>20.6</v>
      </c>
      <c r="T32" s="579"/>
    </row>
    <row r="33" spans="1:20" ht="12.75">
      <c r="A33" s="89"/>
      <c r="B33" s="90"/>
      <c r="C33" s="90"/>
      <c r="D33" s="90"/>
      <c r="E33" s="9"/>
      <c r="F33" s="9"/>
      <c r="G33" s="9"/>
      <c r="H33" s="9"/>
      <c r="I33" s="9"/>
      <c r="J33" s="9"/>
      <c r="K33" s="9"/>
      <c r="L33" s="9"/>
      <c r="M33" s="9"/>
      <c r="N33" s="9"/>
      <c r="O33" s="9"/>
      <c r="P33" s="9"/>
      <c r="Q33" s="9"/>
      <c r="R33" s="9"/>
      <c r="S33" s="9"/>
      <c r="T33" s="9"/>
    </row>
    <row r="34" spans="1:20" ht="12.75" customHeight="1">
      <c r="A34" s="179" t="s">
        <v>408</v>
      </c>
      <c r="B34" s="562" t="s">
        <v>468</v>
      </c>
      <c r="C34" s="562"/>
      <c r="D34" s="562"/>
      <c r="E34" s="562"/>
      <c r="F34" s="562"/>
      <c r="G34" s="562"/>
      <c r="H34" s="562"/>
      <c r="I34" s="9"/>
      <c r="J34" s="9"/>
      <c r="K34" s="9"/>
      <c r="L34" s="9"/>
      <c r="M34" s="9"/>
      <c r="N34" s="9"/>
      <c r="O34" s="9"/>
      <c r="P34" s="9"/>
      <c r="Q34" s="9"/>
      <c r="R34" s="9"/>
      <c r="S34" s="9"/>
      <c r="T34" s="9"/>
    </row>
    <row r="35" spans="1:20" ht="12.75">
      <c r="A35" s="179"/>
      <c r="B35" s="90"/>
      <c r="C35" s="90"/>
      <c r="D35" s="90"/>
      <c r="E35" s="9"/>
      <c r="F35" s="9"/>
      <c r="G35" s="9"/>
      <c r="H35" s="9"/>
      <c r="I35" s="9"/>
      <c r="J35" s="9"/>
      <c r="K35" s="9"/>
      <c r="L35" s="9"/>
      <c r="M35" s="9"/>
      <c r="N35" s="9"/>
      <c r="O35" s="9"/>
      <c r="P35" s="9"/>
      <c r="Q35" s="9"/>
      <c r="R35" s="9"/>
      <c r="S35" s="9"/>
      <c r="T35" s="9"/>
    </row>
    <row r="36" spans="1:20" s="24" customFormat="1" ht="17.25" customHeight="1">
      <c r="A36" s="2" t="s">
        <v>17</v>
      </c>
      <c r="B36" s="565" t="s">
        <v>409</v>
      </c>
      <c r="C36" s="566"/>
      <c r="D36" s="567"/>
      <c r="E36" s="574" t="s">
        <v>18</v>
      </c>
      <c r="F36" s="625"/>
      <c r="G36" s="625"/>
      <c r="H36" s="625"/>
      <c r="I36" s="625"/>
      <c r="J36" s="575"/>
      <c r="K36" s="572" t="s">
        <v>19</v>
      </c>
      <c r="L36" s="572"/>
      <c r="M36" s="572"/>
      <c r="N36" s="572"/>
      <c r="O36" s="572"/>
      <c r="P36" s="572"/>
      <c r="Q36" s="607"/>
      <c r="R36" s="607"/>
      <c r="S36" s="607"/>
      <c r="T36" s="607"/>
    </row>
    <row r="37" spans="1:20" ht="12.75">
      <c r="A37" s="4"/>
      <c r="B37" s="568"/>
      <c r="C37" s="569"/>
      <c r="D37" s="570"/>
      <c r="E37" s="560" t="s">
        <v>426</v>
      </c>
      <c r="F37" s="561"/>
      <c r="G37" s="560" t="s">
        <v>427</v>
      </c>
      <c r="H37" s="561"/>
      <c r="I37" s="560" t="s">
        <v>428</v>
      </c>
      <c r="J37" s="561"/>
      <c r="K37" s="572" t="s">
        <v>426</v>
      </c>
      <c r="L37" s="572"/>
      <c r="M37" s="572" t="s">
        <v>427</v>
      </c>
      <c r="N37" s="572"/>
      <c r="O37" s="572" t="s">
        <v>428</v>
      </c>
      <c r="P37" s="572"/>
      <c r="Q37" s="9"/>
      <c r="R37" s="9"/>
      <c r="S37" s="9"/>
      <c r="T37" s="9"/>
    </row>
    <row r="38" spans="1:20" ht="54.75" customHeight="1">
      <c r="A38" s="206">
        <v>1</v>
      </c>
      <c r="B38" s="571" t="s">
        <v>816</v>
      </c>
      <c r="C38" s="571"/>
      <c r="D38" s="571"/>
      <c r="E38" s="564">
        <v>1</v>
      </c>
      <c r="F38" s="564"/>
      <c r="G38" s="563" t="s">
        <v>817</v>
      </c>
      <c r="H38" s="563"/>
      <c r="I38" s="563" t="s">
        <v>818</v>
      </c>
      <c r="J38" s="563"/>
      <c r="K38" s="564">
        <v>1</v>
      </c>
      <c r="L38" s="564"/>
      <c r="M38" s="563" t="s">
        <v>817</v>
      </c>
      <c r="N38" s="563"/>
      <c r="O38" s="563" t="s">
        <v>818</v>
      </c>
      <c r="P38" s="563"/>
      <c r="Q38" s="9"/>
      <c r="R38" s="9"/>
      <c r="S38" s="9"/>
      <c r="T38" s="9"/>
    </row>
    <row r="41" spans="1:9" ht="13.5" customHeight="1">
      <c r="A41" s="626" t="s">
        <v>179</v>
      </c>
      <c r="B41" s="626"/>
      <c r="C41" s="626"/>
      <c r="D41" s="626"/>
      <c r="E41" s="626"/>
      <c r="F41" s="626"/>
      <c r="G41" s="626"/>
      <c r="H41" s="626"/>
      <c r="I41" s="626"/>
    </row>
    <row r="42" spans="1:20" ht="15" customHeight="1">
      <c r="A42" s="609" t="s">
        <v>52</v>
      </c>
      <c r="B42" s="609" t="s">
        <v>18</v>
      </c>
      <c r="C42" s="609"/>
      <c r="D42" s="609"/>
      <c r="E42" s="610" t="s">
        <v>19</v>
      </c>
      <c r="F42" s="610"/>
      <c r="G42" s="610"/>
      <c r="H42" s="611" t="s">
        <v>142</v>
      </c>
      <c r="I42" s="12"/>
      <c r="J42" s="615" t="s">
        <v>52</v>
      </c>
      <c r="K42" s="616"/>
      <c r="L42" s="619" t="s">
        <v>18</v>
      </c>
      <c r="M42" s="620"/>
      <c r="N42" s="621"/>
      <c r="O42" s="622" t="s">
        <v>19</v>
      </c>
      <c r="P42" s="623"/>
      <c r="Q42" s="624"/>
      <c r="R42" s="44" t="s">
        <v>142</v>
      </c>
      <c r="S42" s="9"/>
      <c r="T42" s="9"/>
    </row>
    <row r="43" spans="1:20" ht="15">
      <c r="A43" s="609"/>
      <c r="B43" s="43" t="s">
        <v>169</v>
      </c>
      <c r="C43" s="63" t="s">
        <v>94</v>
      </c>
      <c r="D43" s="43" t="s">
        <v>13</v>
      </c>
      <c r="E43" s="43" t="s">
        <v>169</v>
      </c>
      <c r="F43" s="63" t="s">
        <v>94</v>
      </c>
      <c r="G43" s="43" t="s">
        <v>13</v>
      </c>
      <c r="H43" s="612"/>
      <c r="I43" s="12"/>
      <c r="J43" s="617"/>
      <c r="K43" s="618"/>
      <c r="L43" s="43" t="s">
        <v>169</v>
      </c>
      <c r="M43" s="63" t="s">
        <v>94</v>
      </c>
      <c r="N43" s="43" t="s">
        <v>13</v>
      </c>
      <c r="O43" s="43" t="s">
        <v>169</v>
      </c>
      <c r="P43" s="63" t="s">
        <v>94</v>
      </c>
      <c r="Q43" s="43" t="s">
        <v>13</v>
      </c>
      <c r="R43" s="44"/>
      <c r="S43" s="9"/>
      <c r="T43" s="9"/>
    </row>
    <row r="44" spans="1:20" ht="12.75">
      <c r="A44" s="23" t="s">
        <v>517</v>
      </c>
      <c r="B44" s="396">
        <v>2.48</v>
      </c>
      <c r="C44" s="396">
        <v>1.65</v>
      </c>
      <c r="D44" s="396">
        <f>SUM(B44:C44)</f>
        <v>4.13</v>
      </c>
      <c r="E44" s="396">
        <v>3.71</v>
      </c>
      <c r="F44" s="396">
        <v>2.47</v>
      </c>
      <c r="G44" s="396">
        <f>SUM(E44:F44)</f>
        <v>6.18</v>
      </c>
      <c r="H44" s="397">
        <v>42739</v>
      </c>
      <c r="I44" s="12"/>
      <c r="J44" s="613" t="s">
        <v>819</v>
      </c>
      <c r="K44" s="614"/>
      <c r="L44" s="368">
        <v>2.48</v>
      </c>
      <c r="M44" s="368">
        <v>5.65</v>
      </c>
      <c r="N44" s="368">
        <f>SUM(L44:M44)</f>
        <v>8.13</v>
      </c>
      <c r="O44" s="368">
        <v>3.71</v>
      </c>
      <c r="P44" s="368">
        <v>6.47</v>
      </c>
      <c r="Q44" s="368">
        <f>SUM(O44:P44)</f>
        <v>10.18</v>
      </c>
      <c r="R44" s="397">
        <v>42739</v>
      </c>
      <c r="S44" s="9"/>
      <c r="T44" s="9"/>
    </row>
    <row r="45" spans="1:20" ht="12.75">
      <c r="A45" s="23" t="s">
        <v>820</v>
      </c>
      <c r="B45" s="396">
        <v>2.666</v>
      </c>
      <c r="C45" s="396">
        <v>1.77375</v>
      </c>
      <c r="D45" s="396">
        <f>SUM(B45:C45)</f>
        <v>4.43975</v>
      </c>
      <c r="E45" s="396">
        <v>3.98825</v>
      </c>
      <c r="F45" s="396">
        <v>2.65525</v>
      </c>
      <c r="G45" s="396">
        <f>SUM(E45:F45)</f>
        <v>6.6434999999999995</v>
      </c>
      <c r="H45" s="14" t="s">
        <v>170</v>
      </c>
      <c r="I45" s="12"/>
      <c r="J45" s="613" t="s">
        <v>821</v>
      </c>
      <c r="K45" s="614"/>
      <c r="L45" s="368">
        <v>2.67</v>
      </c>
      <c r="M45" s="368">
        <v>5.77</v>
      </c>
      <c r="N45" s="368">
        <f>SUM(L45:M45)</f>
        <v>8.44</v>
      </c>
      <c r="O45" s="368">
        <v>3.99</v>
      </c>
      <c r="P45" s="368">
        <v>6.66</v>
      </c>
      <c r="Q45" s="368">
        <f>SUM(O45:P45)</f>
        <v>10.65</v>
      </c>
      <c r="R45" s="14" t="s">
        <v>170</v>
      </c>
      <c r="S45" s="9"/>
      <c r="T45" s="9"/>
    </row>
    <row r="46" spans="1:20" ht="15" customHeight="1">
      <c r="A46" s="608" t="s">
        <v>232</v>
      </c>
      <c r="B46" s="608"/>
      <c r="C46" s="608"/>
      <c r="D46" s="608"/>
      <c r="E46" s="608"/>
      <c r="F46" s="608"/>
      <c r="G46" s="608"/>
      <c r="H46" s="608"/>
      <c r="I46" s="608"/>
      <c r="J46" s="608"/>
      <c r="K46" s="608"/>
      <c r="L46" s="608"/>
      <c r="M46" s="608"/>
      <c r="N46" s="608"/>
      <c r="O46" s="608"/>
      <c r="P46" s="608"/>
      <c r="Q46" s="608"/>
      <c r="R46" s="608"/>
      <c r="S46" s="608"/>
      <c r="T46" s="608"/>
    </row>
    <row r="47" spans="1:9" ht="15">
      <c r="A47" s="88"/>
      <c r="B47" s="177"/>
      <c r="C47" s="177"/>
      <c r="D47" s="177"/>
      <c r="E47" s="177"/>
      <c r="F47" s="177"/>
      <c r="G47" s="177"/>
      <c r="H47" s="178"/>
      <c r="I47" s="12"/>
    </row>
    <row r="48" spans="1:9" ht="15">
      <c r="A48" s="24"/>
      <c r="B48" s="209"/>
      <c r="C48" s="209"/>
      <c r="D48" s="209"/>
      <c r="E48" s="209"/>
      <c r="F48" s="209"/>
      <c r="G48" s="209"/>
      <c r="H48" s="178"/>
      <c r="I48" s="12"/>
    </row>
    <row r="51" spans="1:17" s="12" customFormat="1" ht="12.75">
      <c r="A51" s="11"/>
      <c r="B51" s="11"/>
      <c r="C51" s="11"/>
      <c r="D51" s="11"/>
      <c r="E51" s="11"/>
      <c r="F51" s="11"/>
      <c r="G51" s="11"/>
      <c r="I51" s="11"/>
      <c r="O51" s="68"/>
      <c r="P51" s="68"/>
      <c r="Q51" s="68"/>
    </row>
    <row r="52" spans="1:17" s="12" customFormat="1" ht="12.75">
      <c r="A52" s="68"/>
      <c r="B52" s="68"/>
      <c r="C52" s="68"/>
      <c r="D52" s="68"/>
      <c r="E52" s="68"/>
      <c r="F52" s="68"/>
      <c r="G52" s="68"/>
      <c r="H52" s="68"/>
      <c r="I52" s="68"/>
      <c r="J52" s="68"/>
      <c r="K52" s="68"/>
      <c r="L52" s="68"/>
      <c r="M52" s="68"/>
      <c r="N52" s="68"/>
      <c r="O52" s="68"/>
      <c r="P52" s="68"/>
      <c r="Q52" s="68"/>
    </row>
    <row r="53" spans="1:20" s="12" customFormat="1" ht="12.75" customHeight="1">
      <c r="A53" s="241"/>
      <c r="B53" s="241"/>
      <c r="C53" s="559" t="s">
        <v>989</v>
      </c>
      <c r="D53" s="559"/>
      <c r="E53" s="559"/>
      <c r="F53" s="241"/>
      <c r="G53" s="358"/>
      <c r="H53" s="358"/>
      <c r="I53" s="559" t="s">
        <v>990</v>
      </c>
      <c r="J53" s="559"/>
      <c r="K53" s="559"/>
      <c r="L53" s="241"/>
      <c r="M53" s="358"/>
      <c r="N53" s="358"/>
      <c r="O53" s="358"/>
      <c r="P53" s="559" t="s">
        <v>996</v>
      </c>
      <c r="Q53" s="559"/>
      <c r="R53" s="559"/>
      <c r="S53" s="559"/>
      <c r="T53" s="359"/>
    </row>
    <row r="54" spans="1:20" ht="12.75" customHeight="1">
      <c r="A54" s="241"/>
      <c r="B54" s="241"/>
      <c r="C54" s="559" t="s">
        <v>991</v>
      </c>
      <c r="D54" s="559"/>
      <c r="E54" s="559"/>
      <c r="F54" s="241"/>
      <c r="G54" s="358"/>
      <c r="H54" s="358"/>
      <c r="I54" s="559" t="s">
        <v>992</v>
      </c>
      <c r="J54" s="559"/>
      <c r="K54" s="559"/>
      <c r="L54" s="241"/>
      <c r="M54" s="358"/>
      <c r="N54" s="358"/>
      <c r="O54" s="358"/>
      <c r="P54" s="559" t="s">
        <v>993</v>
      </c>
      <c r="Q54" s="559"/>
      <c r="R54" s="559"/>
      <c r="S54" s="559"/>
      <c r="T54" s="359"/>
    </row>
    <row r="55" spans="1:20" ht="12.75" customHeight="1">
      <c r="A55" s="241"/>
      <c r="B55" s="241"/>
      <c r="C55" s="559" t="s">
        <v>994</v>
      </c>
      <c r="D55" s="559"/>
      <c r="E55" s="559"/>
      <c r="F55" s="241"/>
      <c r="G55" s="358"/>
      <c r="H55" s="358"/>
      <c r="I55" s="559" t="s">
        <v>995</v>
      </c>
      <c r="J55" s="559"/>
      <c r="K55" s="559"/>
      <c r="L55" s="241"/>
      <c r="M55" s="358"/>
      <c r="N55" s="358"/>
      <c r="O55" s="358"/>
      <c r="P55" s="559" t="s">
        <v>995</v>
      </c>
      <c r="Q55" s="559"/>
      <c r="R55" s="559"/>
      <c r="S55" s="559"/>
      <c r="T55" s="359"/>
    </row>
  </sheetData>
  <sheetProtection/>
  <mergeCells count="172">
    <mergeCell ref="L42:N42"/>
    <mergeCell ref="O42:Q42"/>
    <mergeCell ref="Q36:R36"/>
    <mergeCell ref="E36:J36"/>
    <mergeCell ref="A41:I41"/>
    <mergeCell ref="K38:L38"/>
    <mergeCell ref="K37:L37"/>
    <mergeCell ref="K36:P36"/>
    <mergeCell ref="M38:N38"/>
    <mergeCell ref="O38:P38"/>
    <mergeCell ref="A46:T46"/>
    <mergeCell ref="A42:A43"/>
    <mergeCell ref="B42:D42"/>
    <mergeCell ref="E42:G42"/>
    <mergeCell ref="H42:H43"/>
    <mergeCell ref="E31:F31"/>
    <mergeCell ref="G32:H32"/>
    <mergeCell ref="J44:K44"/>
    <mergeCell ref="J45:K45"/>
    <mergeCell ref="J42:K43"/>
    <mergeCell ref="S36:T36"/>
    <mergeCell ref="I37:J37"/>
    <mergeCell ref="S30:T30"/>
    <mergeCell ref="K32:L32"/>
    <mergeCell ref="E30:F30"/>
    <mergeCell ref="I31:J31"/>
    <mergeCell ref="K30:L30"/>
    <mergeCell ref="G31:H31"/>
    <mergeCell ref="I32:J32"/>
    <mergeCell ref="K31:L31"/>
    <mergeCell ref="J10:K10"/>
    <mergeCell ref="C18:D18"/>
    <mergeCell ref="B11:C11"/>
    <mergeCell ref="M24:N24"/>
    <mergeCell ref="O24:P24"/>
    <mergeCell ref="K25:L25"/>
    <mergeCell ref="J13:K13"/>
    <mergeCell ref="J12:K12"/>
    <mergeCell ref="D13:E13"/>
    <mergeCell ref="D11:E11"/>
    <mergeCell ref="O32:P32"/>
    <mergeCell ref="I30:J30"/>
    <mergeCell ref="Q23:R23"/>
    <mergeCell ref="G24:H24"/>
    <mergeCell ref="E23:F23"/>
    <mergeCell ref="I24:J24"/>
    <mergeCell ref="G26:H26"/>
    <mergeCell ref="M27:N27"/>
    <mergeCell ref="M25:N25"/>
    <mergeCell ref="Q24:R24"/>
    <mergeCell ref="J11:K11"/>
    <mergeCell ref="F11:G11"/>
    <mergeCell ref="H11:I11"/>
    <mergeCell ref="E24:F24"/>
    <mergeCell ref="K24:L24"/>
    <mergeCell ref="M22:T22"/>
    <mergeCell ref="I23:J23"/>
    <mergeCell ref="A15:G15"/>
    <mergeCell ref="C16:D16"/>
    <mergeCell ref="A16:B16"/>
    <mergeCell ref="D10:E10"/>
    <mergeCell ref="F10:G10"/>
    <mergeCell ref="H10:I10"/>
    <mergeCell ref="B10:C10"/>
    <mergeCell ref="B24:D24"/>
    <mergeCell ref="B28:D28"/>
    <mergeCell ref="G25:H25"/>
    <mergeCell ref="I25:J25"/>
    <mergeCell ref="A18:B18"/>
    <mergeCell ref="B25:D25"/>
    <mergeCell ref="B32:D32"/>
    <mergeCell ref="E32:F32"/>
    <mergeCell ref="G30:H30"/>
    <mergeCell ref="B31:D31"/>
    <mergeCell ref="J9:K9"/>
    <mergeCell ref="H9:I9"/>
    <mergeCell ref="B30:D30"/>
    <mergeCell ref="E28:F28"/>
    <mergeCell ref="G28:H28"/>
    <mergeCell ref="G23:H23"/>
    <mergeCell ref="R1:S1"/>
    <mergeCell ref="A2:S2"/>
    <mergeCell ref="A3:S3"/>
    <mergeCell ref="A5:S5"/>
    <mergeCell ref="B9:C9"/>
    <mergeCell ref="A6:B6"/>
    <mergeCell ref="A7:I7"/>
    <mergeCell ref="D9:E9"/>
    <mergeCell ref="F9:G9"/>
    <mergeCell ref="H1:I1"/>
    <mergeCell ref="A17:B17"/>
    <mergeCell ref="D12:E12"/>
    <mergeCell ref="F12:G12"/>
    <mergeCell ref="C17:D17"/>
    <mergeCell ref="F13:G13"/>
    <mergeCell ref="B12:C12"/>
    <mergeCell ref="B13:C13"/>
    <mergeCell ref="H13:I13"/>
    <mergeCell ref="H12:I12"/>
    <mergeCell ref="O23:P23"/>
    <mergeCell ref="I28:J28"/>
    <mergeCell ref="E25:F25"/>
    <mergeCell ref="K28:L28"/>
    <mergeCell ref="A21:S21"/>
    <mergeCell ref="S24:T24"/>
    <mergeCell ref="S26:T26"/>
    <mergeCell ref="Q25:R25"/>
    <mergeCell ref="A22:A23"/>
    <mergeCell ref="G27:H27"/>
    <mergeCell ref="E26:F26"/>
    <mergeCell ref="M28:N28"/>
    <mergeCell ref="B22:D23"/>
    <mergeCell ref="E22:L22"/>
    <mergeCell ref="B26:D26"/>
    <mergeCell ref="I26:J26"/>
    <mergeCell ref="B27:D27"/>
    <mergeCell ref="M26:N26"/>
    <mergeCell ref="B29:D29"/>
    <mergeCell ref="E29:F29"/>
    <mergeCell ref="G29:H29"/>
    <mergeCell ref="I29:J29"/>
    <mergeCell ref="E27:F27"/>
    <mergeCell ref="K29:L29"/>
    <mergeCell ref="I27:J27"/>
    <mergeCell ref="K27:L27"/>
    <mergeCell ref="M29:N29"/>
    <mergeCell ref="O28:P28"/>
    <mergeCell ref="S32:T32"/>
    <mergeCell ref="M31:N31"/>
    <mergeCell ref="Q31:R31"/>
    <mergeCell ref="O29:P29"/>
    <mergeCell ref="M30:N30"/>
    <mergeCell ref="O30:P30"/>
    <mergeCell ref="Q29:R29"/>
    <mergeCell ref="S29:T29"/>
    <mergeCell ref="Q32:R32"/>
    <mergeCell ref="M32:N32"/>
    <mergeCell ref="S25:T25"/>
    <mergeCell ref="O27:P27"/>
    <mergeCell ref="S27:T27"/>
    <mergeCell ref="O25:P25"/>
    <mergeCell ref="Q30:R30"/>
    <mergeCell ref="Q26:R26"/>
    <mergeCell ref="Q28:R28"/>
    <mergeCell ref="Q27:R27"/>
    <mergeCell ref="M37:N37"/>
    <mergeCell ref="O37:P37"/>
    <mergeCell ref="S23:T23"/>
    <mergeCell ref="M23:N23"/>
    <mergeCell ref="K23:L23"/>
    <mergeCell ref="O26:P26"/>
    <mergeCell ref="K26:L26"/>
    <mergeCell ref="S31:T31"/>
    <mergeCell ref="O31:P31"/>
    <mergeCell ref="S28:T28"/>
    <mergeCell ref="E37:F37"/>
    <mergeCell ref="B34:H34"/>
    <mergeCell ref="G38:H38"/>
    <mergeCell ref="I38:J38"/>
    <mergeCell ref="E38:F38"/>
    <mergeCell ref="B36:D37"/>
    <mergeCell ref="B38:D38"/>
    <mergeCell ref="G37:H37"/>
    <mergeCell ref="C55:E55"/>
    <mergeCell ref="I53:K53"/>
    <mergeCell ref="I54:K54"/>
    <mergeCell ref="I55:K55"/>
    <mergeCell ref="P53:S53"/>
    <mergeCell ref="P54:S54"/>
    <mergeCell ref="P55:S55"/>
    <mergeCell ref="C53:E53"/>
    <mergeCell ref="C54:E5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O41"/>
  <sheetViews>
    <sheetView view="pageBreakPreview" zoomScale="70" zoomScaleSheetLayoutView="70" zoomScalePageLayoutView="0" workbookViewId="0" topLeftCell="A1">
      <selection activeCell="W53" sqref="W53"/>
    </sheetView>
  </sheetViews>
  <sheetFormatPr defaultColWidth="9.140625" defaultRowHeight="12.75"/>
  <cols>
    <col min="1" max="1" width="6.7109375" style="239" customWidth="1"/>
    <col min="2" max="2" width="16.140625" style="239" customWidth="1"/>
    <col min="3" max="3" width="15.28125" style="239" customWidth="1"/>
    <col min="4" max="4" width="9.421875" style="239" customWidth="1"/>
    <col min="5" max="5" width="9.00390625" style="239" customWidth="1"/>
    <col min="6" max="6" width="11.57421875" style="239" customWidth="1"/>
    <col min="7" max="10" width="10.421875" style="239" customWidth="1"/>
    <col min="11" max="12" width="10.57421875" style="239" customWidth="1"/>
    <col min="13" max="13" width="11.57421875" style="239" customWidth="1"/>
    <col min="14" max="14" width="11.8515625" style="239" customWidth="1"/>
    <col min="15" max="16384" width="9.140625" style="239" customWidth="1"/>
  </cols>
  <sheetData>
    <row r="1" ht="12.75">
      <c r="N1" s="503" t="s">
        <v>525</v>
      </c>
    </row>
    <row r="2" spans="1:14" ht="18">
      <c r="A2" s="823" t="s">
        <v>0</v>
      </c>
      <c r="B2" s="823"/>
      <c r="C2" s="823"/>
      <c r="D2" s="823"/>
      <c r="E2" s="823"/>
      <c r="F2" s="823"/>
      <c r="G2" s="823"/>
      <c r="H2" s="823"/>
      <c r="I2" s="823"/>
      <c r="J2" s="823"/>
      <c r="K2" s="823"/>
      <c r="L2" s="823"/>
      <c r="M2" s="823"/>
      <c r="N2" s="823"/>
    </row>
    <row r="3" spans="1:14" ht="21">
      <c r="A3" s="824" t="s">
        <v>645</v>
      </c>
      <c r="B3" s="824"/>
      <c r="C3" s="824"/>
      <c r="D3" s="824"/>
      <c r="E3" s="824"/>
      <c r="F3" s="824"/>
      <c r="G3" s="824"/>
      <c r="H3" s="824"/>
      <c r="I3" s="824"/>
      <c r="J3" s="824"/>
      <c r="K3" s="824"/>
      <c r="L3" s="824"/>
      <c r="M3" s="824"/>
      <c r="N3" s="824"/>
    </row>
    <row r="4" spans="1:10" ht="15">
      <c r="A4" s="319"/>
      <c r="B4" s="319"/>
      <c r="C4" s="319"/>
      <c r="D4" s="319"/>
      <c r="E4" s="319"/>
      <c r="F4" s="319"/>
      <c r="G4" s="319"/>
      <c r="H4" s="319"/>
      <c r="I4" s="319"/>
      <c r="J4" s="319"/>
    </row>
    <row r="5" spans="1:14" ht="18">
      <c r="A5" s="823" t="s">
        <v>524</v>
      </c>
      <c r="B5" s="823"/>
      <c r="C5" s="823"/>
      <c r="D5" s="823"/>
      <c r="E5" s="823"/>
      <c r="F5" s="823"/>
      <c r="G5" s="823"/>
      <c r="H5" s="823"/>
      <c r="I5" s="823"/>
      <c r="J5" s="823"/>
      <c r="K5" s="823"/>
      <c r="L5" s="823"/>
      <c r="M5" s="823"/>
      <c r="N5" s="823"/>
    </row>
    <row r="6" spans="1:14" ht="15">
      <c r="A6" s="320" t="s">
        <v>262</v>
      </c>
      <c r="B6" s="320"/>
      <c r="C6" s="320"/>
      <c r="D6" s="320"/>
      <c r="E6" s="320"/>
      <c r="F6" s="320"/>
      <c r="G6" s="320"/>
      <c r="H6" s="319"/>
      <c r="I6" s="319"/>
      <c r="J6" s="319"/>
      <c r="N6" s="383" t="s">
        <v>959</v>
      </c>
    </row>
    <row r="7" spans="1:14" ht="28.5" customHeight="1">
      <c r="A7" s="830" t="s">
        <v>1</v>
      </c>
      <c r="B7" s="830" t="s">
        <v>31</v>
      </c>
      <c r="C7" s="738" t="s">
        <v>401</v>
      </c>
      <c r="D7" s="741" t="s">
        <v>456</v>
      </c>
      <c r="E7" s="741"/>
      <c r="F7" s="741"/>
      <c r="G7" s="741"/>
      <c r="H7" s="742"/>
      <c r="I7" s="738" t="s">
        <v>551</v>
      </c>
      <c r="J7" s="738" t="s">
        <v>552</v>
      </c>
      <c r="K7" s="832" t="s">
        <v>503</v>
      </c>
      <c r="L7" s="832"/>
      <c r="M7" s="832"/>
      <c r="N7" s="832"/>
    </row>
    <row r="8" spans="1:14" ht="39" customHeight="1">
      <c r="A8" s="831"/>
      <c r="B8" s="831"/>
      <c r="C8" s="738"/>
      <c r="D8" s="22" t="s">
        <v>455</v>
      </c>
      <c r="E8" s="22" t="s">
        <v>402</v>
      </c>
      <c r="F8" s="385" t="s">
        <v>403</v>
      </c>
      <c r="G8" s="22" t="s">
        <v>404</v>
      </c>
      <c r="H8" s="22" t="s">
        <v>41</v>
      </c>
      <c r="I8" s="738"/>
      <c r="J8" s="738"/>
      <c r="K8" s="384" t="s">
        <v>405</v>
      </c>
      <c r="L8" s="22" t="s">
        <v>504</v>
      </c>
      <c r="M8" s="22" t="s">
        <v>406</v>
      </c>
      <c r="N8" s="22" t="s">
        <v>407</v>
      </c>
    </row>
    <row r="9" spans="1:14" ht="15">
      <c r="A9" s="386" t="s">
        <v>269</v>
      </c>
      <c r="B9" s="386" t="s">
        <v>270</v>
      </c>
      <c r="C9" s="386" t="s">
        <v>271</v>
      </c>
      <c r="D9" s="386" t="s">
        <v>272</v>
      </c>
      <c r="E9" s="386" t="s">
        <v>273</v>
      </c>
      <c r="F9" s="386" t="s">
        <v>274</v>
      </c>
      <c r="G9" s="386" t="s">
        <v>275</v>
      </c>
      <c r="H9" s="386" t="s">
        <v>276</v>
      </c>
      <c r="I9" s="386" t="s">
        <v>295</v>
      </c>
      <c r="J9" s="386" t="s">
        <v>296</v>
      </c>
      <c r="K9" s="386" t="s">
        <v>297</v>
      </c>
      <c r="L9" s="386" t="s">
        <v>325</v>
      </c>
      <c r="M9" s="386" t="s">
        <v>326</v>
      </c>
      <c r="N9" s="386" t="s">
        <v>327</v>
      </c>
    </row>
    <row r="10" spans="1:14" ht="15">
      <c r="A10" s="504">
        <v>1</v>
      </c>
      <c r="B10" s="245" t="s">
        <v>831</v>
      </c>
      <c r="C10" s="505">
        <f>'AT-3'!G11</f>
        <v>2477</v>
      </c>
      <c r="D10" s="506">
        <v>115</v>
      </c>
      <c r="E10" s="506">
        <v>462</v>
      </c>
      <c r="F10" s="506">
        <v>1737</v>
      </c>
      <c r="G10" s="506">
        <v>148</v>
      </c>
      <c r="H10" s="506">
        <v>26</v>
      </c>
      <c r="I10" s="505">
        <v>201</v>
      </c>
      <c r="J10" s="505">
        <f>C10</f>
        <v>2477</v>
      </c>
      <c r="K10" s="505">
        <f>J10</f>
        <v>2477</v>
      </c>
      <c r="L10" s="505">
        <f>J10</f>
        <v>2477</v>
      </c>
      <c r="M10" s="505">
        <f>K10</f>
        <v>2477</v>
      </c>
      <c r="N10" s="505">
        <f>M10</f>
        <v>2477</v>
      </c>
    </row>
    <row r="11" spans="1:14" ht="15">
      <c r="A11" s="504">
        <v>2</v>
      </c>
      <c r="B11" s="245" t="s">
        <v>832</v>
      </c>
      <c r="C11" s="505">
        <f>'AT-3'!G12</f>
        <v>996</v>
      </c>
      <c r="D11" s="506">
        <v>0</v>
      </c>
      <c r="E11" s="506">
        <v>0</v>
      </c>
      <c r="F11" s="506">
        <f>C11-G11</f>
        <v>903</v>
      </c>
      <c r="G11" s="506">
        <v>93</v>
      </c>
      <c r="H11" s="506">
        <v>0</v>
      </c>
      <c r="I11" s="505">
        <v>0</v>
      </c>
      <c r="J11" s="505">
        <f aca="true" t="shared" si="0" ref="J11:J33">C11</f>
        <v>996</v>
      </c>
      <c r="K11" s="505">
        <f aca="true" t="shared" si="1" ref="K11:K33">J11</f>
        <v>996</v>
      </c>
      <c r="L11" s="505">
        <f aca="true" t="shared" si="2" ref="L11:L33">J11</f>
        <v>996</v>
      </c>
      <c r="M11" s="505">
        <f aca="true" t="shared" si="3" ref="M11:M33">K11</f>
        <v>996</v>
      </c>
      <c r="N11" s="505">
        <f aca="true" t="shared" si="4" ref="N11:N33">M11</f>
        <v>996</v>
      </c>
    </row>
    <row r="12" spans="1:14" ht="15">
      <c r="A12" s="504">
        <v>3</v>
      </c>
      <c r="B12" s="245" t="s">
        <v>833</v>
      </c>
      <c r="C12" s="505">
        <f>'AT-3'!G13</f>
        <v>580</v>
      </c>
      <c r="D12" s="506">
        <v>2</v>
      </c>
      <c r="E12" s="506">
        <v>7</v>
      </c>
      <c r="F12" s="506">
        <v>577</v>
      </c>
      <c r="G12" s="506">
        <v>0</v>
      </c>
      <c r="H12" s="506">
        <v>0</v>
      </c>
      <c r="I12" s="505">
        <f aca="true" t="shared" si="5" ref="I12:I32">C12</f>
        <v>580</v>
      </c>
      <c r="J12" s="505">
        <f t="shared" si="0"/>
        <v>580</v>
      </c>
      <c r="K12" s="505">
        <f t="shared" si="1"/>
        <v>580</v>
      </c>
      <c r="L12" s="505">
        <f t="shared" si="2"/>
        <v>580</v>
      </c>
      <c r="M12" s="505">
        <f t="shared" si="3"/>
        <v>580</v>
      </c>
      <c r="N12" s="505">
        <f t="shared" si="4"/>
        <v>580</v>
      </c>
    </row>
    <row r="13" spans="1:14" ht="15">
      <c r="A13" s="504">
        <v>4</v>
      </c>
      <c r="B13" s="245" t="s">
        <v>834</v>
      </c>
      <c r="C13" s="505">
        <f>'AT-3'!G14</f>
        <v>1731</v>
      </c>
      <c r="D13" s="506">
        <v>0</v>
      </c>
      <c r="E13" s="506">
        <v>0</v>
      </c>
      <c r="F13" s="506">
        <v>1543</v>
      </c>
      <c r="G13" s="506">
        <v>154</v>
      </c>
      <c r="H13" s="506">
        <v>0</v>
      </c>
      <c r="I13" s="505">
        <v>0</v>
      </c>
      <c r="J13" s="505">
        <f t="shared" si="0"/>
        <v>1731</v>
      </c>
      <c r="K13" s="505">
        <f t="shared" si="1"/>
        <v>1731</v>
      </c>
      <c r="L13" s="505">
        <f t="shared" si="2"/>
        <v>1731</v>
      </c>
      <c r="M13" s="505">
        <f t="shared" si="3"/>
        <v>1731</v>
      </c>
      <c r="N13" s="505">
        <f t="shared" si="4"/>
        <v>1731</v>
      </c>
    </row>
    <row r="14" spans="1:14" ht="15">
      <c r="A14" s="504">
        <v>5</v>
      </c>
      <c r="B14" s="245" t="s">
        <v>835</v>
      </c>
      <c r="C14" s="505">
        <f>'AT-3'!G15</f>
        <v>1078</v>
      </c>
      <c r="D14" s="506">
        <v>0</v>
      </c>
      <c r="E14" s="506">
        <v>0</v>
      </c>
      <c r="F14" s="506">
        <v>1015</v>
      </c>
      <c r="G14" s="506">
        <v>0</v>
      </c>
      <c r="H14" s="506">
        <v>63</v>
      </c>
      <c r="I14" s="505">
        <f t="shared" si="5"/>
        <v>1078</v>
      </c>
      <c r="J14" s="505">
        <f t="shared" si="0"/>
        <v>1078</v>
      </c>
      <c r="K14" s="505">
        <f t="shared" si="1"/>
        <v>1078</v>
      </c>
      <c r="L14" s="505">
        <f t="shared" si="2"/>
        <v>1078</v>
      </c>
      <c r="M14" s="505">
        <f t="shared" si="3"/>
        <v>1078</v>
      </c>
      <c r="N14" s="505">
        <f t="shared" si="4"/>
        <v>1078</v>
      </c>
    </row>
    <row r="15" spans="1:14" ht="15">
      <c r="A15" s="504">
        <v>6</v>
      </c>
      <c r="B15" s="245" t="s">
        <v>836</v>
      </c>
      <c r="C15" s="505">
        <f>'AT-3'!G16</f>
        <v>1954</v>
      </c>
      <c r="D15" s="506">
        <v>0</v>
      </c>
      <c r="E15" s="506">
        <v>0</v>
      </c>
      <c r="F15" s="506">
        <v>1826</v>
      </c>
      <c r="G15" s="506">
        <v>0</v>
      </c>
      <c r="H15" s="506">
        <v>128</v>
      </c>
      <c r="I15" s="505">
        <f t="shared" si="5"/>
        <v>1954</v>
      </c>
      <c r="J15" s="505">
        <f t="shared" si="0"/>
        <v>1954</v>
      </c>
      <c r="K15" s="505">
        <f t="shared" si="1"/>
        <v>1954</v>
      </c>
      <c r="L15" s="505">
        <f t="shared" si="2"/>
        <v>1954</v>
      </c>
      <c r="M15" s="505">
        <f t="shared" si="3"/>
        <v>1954</v>
      </c>
      <c r="N15" s="505">
        <f t="shared" si="4"/>
        <v>1954</v>
      </c>
    </row>
    <row r="16" spans="1:14" ht="15">
      <c r="A16" s="504">
        <v>7</v>
      </c>
      <c r="B16" s="245" t="s">
        <v>837</v>
      </c>
      <c r="C16" s="505">
        <f>'AT-3'!G17</f>
        <v>1660</v>
      </c>
      <c r="D16" s="506">
        <v>0</v>
      </c>
      <c r="E16" s="506">
        <v>0</v>
      </c>
      <c r="F16" s="506">
        <v>1660</v>
      </c>
      <c r="G16" s="506">
        <v>0</v>
      </c>
      <c r="H16" s="506">
        <v>0</v>
      </c>
      <c r="I16" s="505">
        <f t="shared" si="5"/>
        <v>1660</v>
      </c>
      <c r="J16" s="505">
        <f t="shared" si="0"/>
        <v>1660</v>
      </c>
      <c r="K16" s="505">
        <f t="shared" si="1"/>
        <v>1660</v>
      </c>
      <c r="L16" s="505">
        <v>538</v>
      </c>
      <c r="M16" s="505">
        <v>54</v>
      </c>
      <c r="N16" s="505">
        <v>1660</v>
      </c>
    </row>
    <row r="17" spans="1:14" ht="15">
      <c r="A17" s="504">
        <v>8</v>
      </c>
      <c r="B17" s="245" t="s">
        <v>838</v>
      </c>
      <c r="C17" s="505">
        <f>'AT-3'!G18</f>
        <v>2252</v>
      </c>
      <c r="D17" s="506">
        <v>15</v>
      </c>
      <c r="E17" s="506">
        <v>2</v>
      </c>
      <c r="F17" s="506">
        <v>2015</v>
      </c>
      <c r="G17" s="506">
        <v>153</v>
      </c>
      <c r="H17" s="506">
        <v>67</v>
      </c>
      <c r="I17" s="505">
        <v>0</v>
      </c>
      <c r="J17" s="505">
        <f t="shared" si="0"/>
        <v>2252</v>
      </c>
      <c r="K17" s="505">
        <f t="shared" si="1"/>
        <v>2252</v>
      </c>
      <c r="L17" s="505">
        <v>1833</v>
      </c>
      <c r="M17" s="505">
        <v>1742</v>
      </c>
      <c r="N17" s="505">
        <v>2252</v>
      </c>
    </row>
    <row r="18" spans="1:14" ht="15">
      <c r="A18" s="504">
        <v>9</v>
      </c>
      <c r="B18" s="245" t="s">
        <v>839</v>
      </c>
      <c r="C18" s="505">
        <f>'AT-3'!G19</f>
        <v>2574</v>
      </c>
      <c r="D18" s="506">
        <v>0</v>
      </c>
      <c r="E18" s="506">
        <v>0</v>
      </c>
      <c r="F18" s="506">
        <v>2574</v>
      </c>
      <c r="G18" s="506">
        <v>0</v>
      </c>
      <c r="H18" s="506">
        <v>0</v>
      </c>
      <c r="I18" s="505">
        <f t="shared" si="5"/>
        <v>2574</v>
      </c>
      <c r="J18" s="505">
        <f t="shared" si="0"/>
        <v>2574</v>
      </c>
      <c r="K18" s="505">
        <f t="shared" si="1"/>
        <v>2574</v>
      </c>
      <c r="L18" s="505">
        <f t="shared" si="2"/>
        <v>2574</v>
      </c>
      <c r="M18" s="505">
        <f t="shared" si="3"/>
        <v>2574</v>
      </c>
      <c r="N18" s="505">
        <f t="shared" si="4"/>
        <v>2574</v>
      </c>
    </row>
    <row r="19" spans="1:14" ht="15">
      <c r="A19" s="504">
        <v>10</v>
      </c>
      <c r="B19" s="245" t="s">
        <v>840</v>
      </c>
      <c r="C19" s="505">
        <f>'AT-3'!G20</f>
        <v>1175</v>
      </c>
      <c r="D19" s="506">
        <v>9</v>
      </c>
      <c r="E19" s="506">
        <v>2</v>
      </c>
      <c r="F19" s="506">
        <v>1135</v>
      </c>
      <c r="G19" s="506">
        <v>24</v>
      </c>
      <c r="H19" s="506">
        <v>5</v>
      </c>
      <c r="I19" s="505">
        <f t="shared" si="5"/>
        <v>1175</v>
      </c>
      <c r="J19" s="505">
        <f t="shared" si="0"/>
        <v>1175</v>
      </c>
      <c r="K19" s="505">
        <f t="shared" si="1"/>
        <v>1175</v>
      </c>
      <c r="L19" s="505">
        <f t="shared" si="2"/>
        <v>1175</v>
      </c>
      <c r="M19" s="505">
        <f t="shared" si="3"/>
        <v>1175</v>
      </c>
      <c r="N19" s="505">
        <f t="shared" si="4"/>
        <v>1175</v>
      </c>
    </row>
    <row r="20" spans="1:14" ht="15">
      <c r="A20" s="504">
        <v>11</v>
      </c>
      <c r="B20" s="245" t="s">
        <v>841</v>
      </c>
      <c r="C20" s="505">
        <f>'AT-3'!G21</f>
        <v>1533</v>
      </c>
      <c r="D20" s="506">
        <v>0</v>
      </c>
      <c r="E20" s="506">
        <v>0</v>
      </c>
      <c r="F20" s="506">
        <v>1533</v>
      </c>
      <c r="G20" s="506">
        <v>0</v>
      </c>
      <c r="H20" s="506">
        <v>0</v>
      </c>
      <c r="I20" s="505">
        <v>0</v>
      </c>
      <c r="J20" s="505">
        <f t="shared" si="0"/>
        <v>1533</v>
      </c>
      <c r="K20" s="505">
        <f t="shared" si="1"/>
        <v>1533</v>
      </c>
      <c r="L20" s="505">
        <f t="shared" si="2"/>
        <v>1533</v>
      </c>
      <c r="M20" s="505">
        <f t="shared" si="3"/>
        <v>1533</v>
      </c>
      <c r="N20" s="505">
        <f t="shared" si="4"/>
        <v>1533</v>
      </c>
    </row>
    <row r="21" spans="1:14" ht="15">
      <c r="A21" s="504">
        <v>12</v>
      </c>
      <c r="B21" s="245" t="s">
        <v>842</v>
      </c>
      <c r="C21" s="505">
        <f>'AT-3'!G22</f>
        <v>1597</v>
      </c>
      <c r="D21" s="506">
        <v>0</v>
      </c>
      <c r="E21" s="506">
        <v>90</v>
      </c>
      <c r="F21" s="506">
        <f>C21-D21-E21</f>
        <v>1507</v>
      </c>
      <c r="G21" s="506">
        <v>0</v>
      </c>
      <c r="H21" s="506">
        <v>0</v>
      </c>
      <c r="I21" s="505">
        <v>0</v>
      </c>
      <c r="J21" s="505">
        <f t="shared" si="0"/>
        <v>1597</v>
      </c>
      <c r="K21" s="505">
        <f t="shared" si="1"/>
        <v>1597</v>
      </c>
      <c r="L21" s="505">
        <f t="shared" si="2"/>
        <v>1597</v>
      </c>
      <c r="M21" s="505">
        <f t="shared" si="3"/>
        <v>1597</v>
      </c>
      <c r="N21" s="505">
        <f t="shared" si="4"/>
        <v>1597</v>
      </c>
    </row>
    <row r="22" spans="1:14" ht="15">
      <c r="A22" s="504">
        <v>13</v>
      </c>
      <c r="B22" s="245" t="s">
        <v>843</v>
      </c>
      <c r="C22" s="505">
        <f>'AT-3'!G23</f>
        <v>700</v>
      </c>
      <c r="D22" s="506">
        <v>0</v>
      </c>
      <c r="E22" s="506">
        <v>24</v>
      </c>
      <c r="F22" s="506">
        <v>676</v>
      </c>
      <c r="G22" s="506">
        <v>0</v>
      </c>
      <c r="H22" s="506">
        <v>0</v>
      </c>
      <c r="I22" s="505">
        <f t="shared" si="5"/>
        <v>700</v>
      </c>
      <c r="J22" s="505">
        <f t="shared" si="0"/>
        <v>700</v>
      </c>
      <c r="K22" s="505">
        <f t="shared" si="1"/>
        <v>700</v>
      </c>
      <c r="L22" s="505">
        <f t="shared" si="2"/>
        <v>700</v>
      </c>
      <c r="M22" s="505">
        <f t="shared" si="3"/>
        <v>700</v>
      </c>
      <c r="N22" s="505">
        <f t="shared" si="4"/>
        <v>700</v>
      </c>
    </row>
    <row r="23" spans="1:14" ht="15">
      <c r="A23" s="504">
        <v>14</v>
      </c>
      <c r="B23" s="245" t="s">
        <v>844</v>
      </c>
      <c r="C23" s="505">
        <f>'AT-3'!G24</f>
        <v>723</v>
      </c>
      <c r="D23" s="506">
        <v>80</v>
      </c>
      <c r="E23" s="506">
        <v>312</v>
      </c>
      <c r="F23" s="506">
        <f>C23-D23-E23</f>
        <v>331</v>
      </c>
      <c r="G23" s="506">
        <v>0</v>
      </c>
      <c r="H23" s="506">
        <v>0</v>
      </c>
      <c r="I23" s="505">
        <f t="shared" si="5"/>
        <v>723</v>
      </c>
      <c r="J23" s="505">
        <f t="shared" si="0"/>
        <v>723</v>
      </c>
      <c r="K23" s="505">
        <f t="shared" si="1"/>
        <v>723</v>
      </c>
      <c r="L23" s="505">
        <f t="shared" si="2"/>
        <v>723</v>
      </c>
      <c r="M23" s="505">
        <f t="shared" si="3"/>
        <v>723</v>
      </c>
      <c r="N23" s="505">
        <f t="shared" si="4"/>
        <v>723</v>
      </c>
    </row>
    <row r="24" spans="1:14" ht="15">
      <c r="A24" s="504">
        <v>15</v>
      </c>
      <c r="B24" s="245" t="s">
        <v>845</v>
      </c>
      <c r="C24" s="505">
        <f>'AT-3'!G25</f>
        <v>1794</v>
      </c>
      <c r="D24" s="506">
        <v>0</v>
      </c>
      <c r="E24" s="506">
        <v>0</v>
      </c>
      <c r="F24" s="506">
        <v>1794</v>
      </c>
      <c r="G24" s="506">
        <v>0</v>
      </c>
      <c r="H24" s="506">
        <v>0</v>
      </c>
      <c r="I24" s="505">
        <v>1793</v>
      </c>
      <c r="J24" s="505">
        <f t="shared" si="0"/>
        <v>1794</v>
      </c>
      <c r="K24" s="505">
        <f t="shared" si="1"/>
        <v>1794</v>
      </c>
      <c r="L24" s="505">
        <f t="shared" si="2"/>
        <v>1794</v>
      </c>
      <c r="M24" s="505">
        <f t="shared" si="3"/>
        <v>1794</v>
      </c>
      <c r="N24" s="505">
        <f t="shared" si="4"/>
        <v>1794</v>
      </c>
    </row>
    <row r="25" spans="1:14" ht="15">
      <c r="A25" s="504">
        <v>16</v>
      </c>
      <c r="B25" s="245" t="s">
        <v>846</v>
      </c>
      <c r="C25" s="505">
        <f>'AT-3'!G26</f>
        <v>3359</v>
      </c>
      <c r="D25" s="506">
        <v>0</v>
      </c>
      <c r="E25" s="506">
        <v>0</v>
      </c>
      <c r="F25" s="506">
        <v>3318</v>
      </c>
      <c r="G25" s="506">
        <v>41</v>
      </c>
      <c r="H25" s="506">
        <v>0</v>
      </c>
      <c r="I25" s="505">
        <f t="shared" si="5"/>
        <v>3359</v>
      </c>
      <c r="J25" s="505">
        <f t="shared" si="0"/>
        <v>3359</v>
      </c>
      <c r="K25" s="505">
        <f t="shared" si="1"/>
        <v>3359</v>
      </c>
      <c r="L25" s="505">
        <f t="shared" si="2"/>
        <v>3359</v>
      </c>
      <c r="M25" s="505">
        <f t="shared" si="3"/>
        <v>3359</v>
      </c>
      <c r="N25" s="505">
        <f t="shared" si="4"/>
        <v>3359</v>
      </c>
    </row>
    <row r="26" spans="1:14" ht="15">
      <c r="A26" s="504">
        <v>17</v>
      </c>
      <c r="B26" s="245" t="s">
        <v>847</v>
      </c>
      <c r="C26" s="505">
        <f>'AT-3'!G27</f>
        <v>1832</v>
      </c>
      <c r="D26" s="506">
        <v>5</v>
      </c>
      <c r="E26" s="506">
        <v>91</v>
      </c>
      <c r="F26" s="506">
        <v>1505</v>
      </c>
      <c r="G26" s="506">
        <v>27</v>
      </c>
      <c r="H26" s="506">
        <v>204</v>
      </c>
      <c r="I26" s="505">
        <f t="shared" si="5"/>
        <v>1832</v>
      </c>
      <c r="J26" s="505">
        <f t="shared" si="0"/>
        <v>1832</v>
      </c>
      <c r="K26" s="505">
        <f t="shared" si="1"/>
        <v>1832</v>
      </c>
      <c r="L26" s="505">
        <f t="shared" si="2"/>
        <v>1832</v>
      </c>
      <c r="M26" s="505">
        <f t="shared" si="3"/>
        <v>1832</v>
      </c>
      <c r="N26" s="505">
        <f t="shared" si="4"/>
        <v>1832</v>
      </c>
    </row>
    <row r="27" spans="1:14" ht="15">
      <c r="A27" s="504">
        <v>18</v>
      </c>
      <c r="B27" s="245" t="s">
        <v>848</v>
      </c>
      <c r="C27" s="505">
        <f>'AT-3'!G28</f>
        <v>1730</v>
      </c>
      <c r="D27" s="506">
        <v>45</v>
      </c>
      <c r="E27" s="506">
        <v>25</v>
      </c>
      <c r="F27" s="506">
        <v>1563</v>
      </c>
      <c r="G27" s="506">
        <v>38</v>
      </c>
      <c r="H27" s="506">
        <v>34</v>
      </c>
      <c r="I27" s="505">
        <v>1527</v>
      </c>
      <c r="J27" s="505">
        <f t="shared" si="0"/>
        <v>1730</v>
      </c>
      <c r="K27" s="505">
        <f t="shared" si="1"/>
        <v>1730</v>
      </c>
      <c r="L27" s="505">
        <f t="shared" si="2"/>
        <v>1730</v>
      </c>
      <c r="M27" s="505">
        <f t="shared" si="3"/>
        <v>1730</v>
      </c>
      <c r="N27" s="505">
        <f t="shared" si="4"/>
        <v>1730</v>
      </c>
    </row>
    <row r="28" spans="1:14" ht="15">
      <c r="A28" s="504">
        <v>19</v>
      </c>
      <c r="B28" s="245" t="s">
        <v>849</v>
      </c>
      <c r="C28" s="505">
        <f>'AT-3'!G29</f>
        <v>2497</v>
      </c>
      <c r="D28" s="275">
        <v>0</v>
      </c>
      <c r="E28" s="275">
        <v>313</v>
      </c>
      <c r="F28" s="275">
        <f>2501-313</f>
        <v>2188</v>
      </c>
      <c r="G28" s="275">
        <v>0</v>
      </c>
      <c r="H28" s="275">
        <v>0</v>
      </c>
      <c r="I28" s="505">
        <v>0</v>
      </c>
      <c r="J28" s="505">
        <f t="shared" si="0"/>
        <v>2497</v>
      </c>
      <c r="K28" s="505">
        <f t="shared" si="1"/>
        <v>2497</v>
      </c>
      <c r="L28" s="505">
        <f t="shared" si="2"/>
        <v>2497</v>
      </c>
      <c r="M28" s="505">
        <f t="shared" si="3"/>
        <v>2497</v>
      </c>
      <c r="N28" s="505">
        <f t="shared" si="4"/>
        <v>2497</v>
      </c>
    </row>
    <row r="29" spans="1:14" ht="15">
      <c r="A29" s="504">
        <v>20</v>
      </c>
      <c r="B29" s="245" t="s">
        <v>850</v>
      </c>
      <c r="C29" s="505">
        <f>'AT-3'!G30</f>
        <v>1166</v>
      </c>
      <c r="D29" s="275">
        <v>0</v>
      </c>
      <c r="E29" s="275">
        <v>44</v>
      </c>
      <c r="F29" s="275">
        <f>1166-44</f>
        <v>1122</v>
      </c>
      <c r="G29" s="275">
        <v>0</v>
      </c>
      <c r="H29" s="275">
        <v>0</v>
      </c>
      <c r="I29" s="505">
        <f t="shared" si="5"/>
        <v>1166</v>
      </c>
      <c r="J29" s="505">
        <f t="shared" si="0"/>
        <v>1166</v>
      </c>
      <c r="K29" s="505">
        <f t="shared" si="1"/>
        <v>1166</v>
      </c>
      <c r="L29" s="505">
        <v>580</v>
      </c>
      <c r="M29" s="505">
        <v>152</v>
      </c>
      <c r="N29" s="505">
        <v>1166</v>
      </c>
    </row>
    <row r="30" spans="1:15" ht="15">
      <c r="A30" s="504">
        <v>21</v>
      </c>
      <c r="B30" s="245" t="s">
        <v>851</v>
      </c>
      <c r="C30" s="505">
        <f>'AT-3'!G31</f>
        <v>1434</v>
      </c>
      <c r="D30" s="275">
        <v>17</v>
      </c>
      <c r="E30" s="275">
        <v>0</v>
      </c>
      <c r="F30" s="275">
        <f>C30-D30-G30</f>
        <v>1310</v>
      </c>
      <c r="G30" s="275">
        <v>107</v>
      </c>
      <c r="H30" s="275">
        <v>0</v>
      </c>
      <c r="I30" s="505">
        <f t="shared" si="5"/>
        <v>1434</v>
      </c>
      <c r="J30" s="505">
        <f t="shared" si="0"/>
        <v>1434</v>
      </c>
      <c r="K30" s="505">
        <f t="shared" si="1"/>
        <v>1434</v>
      </c>
      <c r="L30" s="505">
        <f t="shared" si="2"/>
        <v>1434</v>
      </c>
      <c r="M30" s="505">
        <f t="shared" si="3"/>
        <v>1434</v>
      </c>
      <c r="N30" s="505">
        <f t="shared" si="4"/>
        <v>1434</v>
      </c>
      <c r="O30" s="239" t="s">
        <v>400</v>
      </c>
    </row>
    <row r="31" spans="1:14" ht="15">
      <c r="A31" s="504">
        <v>22</v>
      </c>
      <c r="B31" s="245" t="s">
        <v>852</v>
      </c>
      <c r="C31" s="505">
        <f>'AT-3'!G32</f>
        <v>1061</v>
      </c>
      <c r="D31" s="275">
        <v>0</v>
      </c>
      <c r="E31" s="275">
        <v>2</v>
      </c>
      <c r="F31" s="275">
        <v>1002</v>
      </c>
      <c r="G31" s="275">
        <v>54</v>
      </c>
      <c r="H31" s="275">
        <v>3</v>
      </c>
      <c r="I31" s="505">
        <f t="shared" si="5"/>
        <v>1061</v>
      </c>
      <c r="J31" s="505">
        <f t="shared" si="0"/>
        <v>1061</v>
      </c>
      <c r="K31" s="505">
        <f t="shared" si="1"/>
        <v>1061</v>
      </c>
      <c r="L31" s="505">
        <v>708</v>
      </c>
      <c r="M31" s="505">
        <v>832</v>
      </c>
      <c r="N31" s="505">
        <v>1061</v>
      </c>
    </row>
    <row r="32" spans="1:14" ht="15">
      <c r="A32" s="504">
        <v>23</v>
      </c>
      <c r="B32" s="245" t="s">
        <v>853</v>
      </c>
      <c r="C32" s="505">
        <f>'AT-3'!G33</f>
        <v>1727</v>
      </c>
      <c r="D32" s="275">
        <v>0</v>
      </c>
      <c r="E32" s="275">
        <v>0</v>
      </c>
      <c r="F32" s="275">
        <v>1419</v>
      </c>
      <c r="G32" s="275">
        <v>308</v>
      </c>
      <c r="H32" s="275">
        <v>0</v>
      </c>
      <c r="I32" s="505">
        <f t="shared" si="5"/>
        <v>1727</v>
      </c>
      <c r="J32" s="505">
        <f t="shared" si="0"/>
        <v>1727</v>
      </c>
      <c r="K32" s="505">
        <f t="shared" si="1"/>
        <v>1727</v>
      </c>
      <c r="L32" s="505">
        <f t="shared" si="2"/>
        <v>1727</v>
      </c>
      <c r="M32" s="505">
        <f t="shared" si="3"/>
        <v>1727</v>
      </c>
      <c r="N32" s="505">
        <f t="shared" si="4"/>
        <v>1727</v>
      </c>
    </row>
    <row r="33" spans="1:14" ht="15">
      <c r="A33" s="504">
        <v>24</v>
      </c>
      <c r="B33" s="245" t="s">
        <v>854</v>
      </c>
      <c r="C33" s="505">
        <f>'AT-3'!G34</f>
        <v>2092</v>
      </c>
      <c r="D33" s="275">
        <v>0</v>
      </c>
      <c r="E33" s="275">
        <v>313</v>
      </c>
      <c r="F33" s="275">
        <f>C33-E33</f>
        <v>1779</v>
      </c>
      <c r="G33" s="275">
        <v>0</v>
      </c>
      <c r="H33" s="275">
        <v>0</v>
      </c>
      <c r="I33" s="505">
        <v>0</v>
      </c>
      <c r="J33" s="505">
        <f t="shared" si="0"/>
        <v>2092</v>
      </c>
      <c r="K33" s="505">
        <f t="shared" si="1"/>
        <v>2092</v>
      </c>
      <c r="L33" s="505">
        <f t="shared" si="2"/>
        <v>2092</v>
      </c>
      <c r="M33" s="505">
        <f t="shared" si="3"/>
        <v>2092</v>
      </c>
      <c r="N33" s="505">
        <f t="shared" si="4"/>
        <v>2092</v>
      </c>
    </row>
    <row r="34" spans="1:14" s="238" customFormat="1" ht="12.75">
      <c r="A34" s="828" t="s">
        <v>13</v>
      </c>
      <c r="B34" s="829"/>
      <c r="C34" s="387">
        <f>SUM(C10:C33)</f>
        <v>39722</v>
      </c>
      <c r="D34" s="317">
        <f aca="true" t="shared" si="6" ref="D34:M34">SUM(D10:D33)</f>
        <v>288</v>
      </c>
      <c r="E34" s="317">
        <f t="shared" si="6"/>
        <v>1687</v>
      </c>
      <c r="F34" s="317">
        <f t="shared" si="6"/>
        <v>36032</v>
      </c>
      <c r="G34" s="317">
        <f t="shared" si="6"/>
        <v>1147</v>
      </c>
      <c r="H34" s="317">
        <f t="shared" si="6"/>
        <v>530</v>
      </c>
      <c r="I34" s="387">
        <f t="shared" si="6"/>
        <v>24544</v>
      </c>
      <c r="J34" s="387">
        <f t="shared" si="6"/>
        <v>39722</v>
      </c>
      <c r="K34" s="387">
        <f t="shared" si="6"/>
        <v>39722</v>
      </c>
      <c r="L34" s="387">
        <f t="shared" si="6"/>
        <v>37242</v>
      </c>
      <c r="M34" s="387">
        <f t="shared" si="6"/>
        <v>36363</v>
      </c>
      <c r="N34" s="387">
        <f>SUM(N10:N33)</f>
        <v>39722</v>
      </c>
    </row>
    <row r="38" spans="1:12" ht="12.75" customHeight="1">
      <c r="A38" s="363"/>
      <c r="B38" s="363"/>
      <c r="C38" s="363"/>
      <c r="D38" s="363"/>
      <c r="H38" s="364"/>
      <c r="I38" s="364"/>
      <c r="J38" s="364"/>
      <c r="K38" s="364"/>
      <c r="L38" s="364"/>
    </row>
    <row r="39" spans="1:13" ht="12.75" customHeight="1">
      <c r="A39" s="559" t="s">
        <v>989</v>
      </c>
      <c r="B39" s="559"/>
      <c r="C39" s="559"/>
      <c r="F39" s="559" t="s">
        <v>990</v>
      </c>
      <c r="G39" s="559"/>
      <c r="K39" s="559" t="s">
        <v>996</v>
      </c>
      <c r="L39" s="559"/>
      <c r="M39" s="559"/>
    </row>
    <row r="40" spans="1:13" ht="12.75" customHeight="1">
      <c r="A40" s="559" t="s">
        <v>991</v>
      </c>
      <c r="B40" s="559"/>
      <c r="C40" s="559"/>
      <c r="F40" s="559" t="s">
        <v>992</v>
      </c>
      <c r="G40" s="559"/>
      <c r="K40" s="559" t="s">
        <v>993</v>
      </c>
      <c r="L40" s="559"/>
      <c r="M40" s="559"/>
    </row>
    <row r="41" spans="1:13" ht="12.75">
      <c r="A41" s="559" t="s">
        <v>994</v>
      </c>
      <c r="B41" s="559"/>
      <c r="C41" s="559"/>
      <c r="F41" s="559" t="s">
        <v>995</v>
      </c>
      <c r="G41" s="559"/>
      <c r="K41" s="559" t="s">
        <v>995</v>
      </c>
      <c r="L41" s="559"/>
      <c r="M41" s="559"/>
    </row>
  </sheetData>
  <sheetProtection/>
  <mergeCells count="20">
    <mergeCell ref="A34:B34"/>
    <mergeCell ref="A7:A8"/>
    <mergeCell ref="B7:B8"/>
    <mergeCell ref="A5:N5"/>
    <mergeCell ref="A3:N3"/>
    <mergeCell ref="K7:N7"/>
    <mergeCell ref="I7:I8"/>
    <mergeCell ref="J7:J8"/>
    <mergeCell ref="D7:H7"/>
    <mergeCell ref="C7:C8"/>
    <mergeCell ref="A2:N2"/>
    <mergeCell ref="A41:C41"/>
    <mergeCell ref="F41:G41"/>
    <mergeCell ref="K41:M41"/>
    <mergeCell ref="A39:C39"/>
    <mergeCell ref="F39:G39"/>
    <mergeCell ref="K39:M39"/>
    <mergeCell ref="A40:C40"/>
    <mergeCell ref="F40:G40"/>
    <mergeCell ref="K40:M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I40"/>
  <sheetViews>
    <sheetView view="pageBreakPreview" zoomScale="70" zoomScaleNormal="85" zoomScaleSheetLayoutView="70" zoomScalePageLayoutView="0" workbookViewId="0" topLeftCell="A1">
      <selection activeCell="U54" sqref="U54"/>
    </sheetView>
  </sheetViews>
  <sheetFormatPr defaultColWidth="9.140625" defaultRowHeight="12.75"/>
  <cols>
    <col min="1" max="1" width="8.28125" style="12" customWidth="1"/>
    <col min="2" max="2" width="23.57421875" style="12" customWidth="1"/>
    <col min="3" max="3" width="16.7109375" style="12" customWidth="1"/>
    <col min="4" max="4" width="12.57421875" style="12" customWidth="1"/>
    <col min="5" max="5" width="13.00390625" style="12" customWidth="1"/>
    <col min="6" max="6" width="14.7109375" style="12" customWidth="1"/>
    <col min="7" max="7" width="13.57421875" style="12" customWidth="1"/>
    <col min="8" max="8" width="15.57421875" style="12" customWidth="1"/>
    <col min="9" max="16384" width="9.140625" style="12" customWidth="1"/>
  </cols>
  <sheetData>
    <row r="1" ht="12.75">
      <c r="H1" s="465" t="s">
        <v>527</v>
      </c>
    </row>
    <row r="2" spans="1:8" ht="18">
      <c r="A2" s="772" t="s">
        <v>0</v>
      </c>
      <c r="B2" s="772"/>
      <c r="C2" s="772"/>
      <c r="D2" s="772"/>
      <c r="E2" s="772"/>
      <c r="F2" s="772"/>
      <c r="G2" s="772"/>
      <c r="H2" s="772"/>
    </row>
    <row r="3" spans="1:8" ht="18">
      <c r="A3" s="772" t="s">
        <v>645</v>
      </c>
      <c r="B3" s="772"/>
      <c r="C3" s="772"/>
      <c r="D3" s="772"/>
      <c r="E3" s="772"/>
      <c r="F3" s="772"/>
      <c r="G3" s="772"/>
      <c r="H3" s="772"/>
    </row>
    <row r="4" spans="1:7" ht="15">
      <c r="A4" s="143"/>
      <c r="B4" s="143"/>
      <c r="C4" s="143"/>
      <c r="D4" s="143"/>
      <c r="E4" s="143"/>
      <c r="F4" s="143"/>
      <c r="G4" s="143"/>
    </row>
    <row r="5" spans="1:8" ht="18">
      <c r="A5" s="772" t="s">
        <v>526</v>
      </c>
      <c r="B5" s="772"/>
      <c r="C5" s="772"/>
      <c r="D5" s="772"/>
      <c r="E5" s="772"/>
      <c r="F5" s="772"/>
      <c r="G5" s="772"/>
      <c r="H5" s="772"/>
    </row>
    <row r="6" spans="1:7" ht="15">
      <c r="A6" s="144" t="s">
        <v>262</v>
      </c>
      <c r="B6" s="144"/>
      <c r="C6" s="144"/>
      <c r="D6" s="144"/>
      <c r="E6" s="144"/>
      <c r="F6" s="144"/>
      <c r="G6" s="347" t="s">
        <v>959</v>
      </c>
    </row>
    <row r="7" spans="1:8" ht="21.75" customHeight="1">
      <c r="A7" s="808" t="s">
        <v>1</v>
      </c>
      <c r="B7" s="808" t="s">
        <v>505</v>
      </c>
      <c r="C7" s="573" t="s">
        <v>31</v>
      </c>
      <c r="D7" s="573" t="s">
        <v>510</v>
      </c>
      <c r="E7" s="573"/>
      <c r="F7" s="573" t="s">
        <v>511</v>
      </c>
      <c r="G7" s="573"/>
      <c r="H7" s="808" t="s">
        <v>227</v>
      </c>
    </row>
    <row r="8" spans="1:8" ht="25.5" customHeight="1">
      <c r="A8" s="808"/>
      <c r="B8" s="808"/>
      <c r="C8" s="573"/>
      <c r="D8" s="5" t="s">
        <v>506</v>
      </c>
      <c r="E8" s="5" t="s">
        <v>507</v>
      </c>
      <c r="F8" s="60" t="s">
        <v>508</v>
      </c>
      <c r="G8" s="5" t="s">
        <v>509</v>
      </c>
      <c r="H8" s="808"/>
    </row>
    <row r="9" spans="1:8" ht="15">
      <c r="A9" s="147" t="s">
        <v>269</v>
      </c>
      <c r="B9" s="147" t="s">
        <v>270</v>
      </c>
      <c r="C9" s="147" t="s">
        <v>271</v>
      </c>
      <c r="D9" s="147" t="s">
        <v>272</v>
      </c>
      <c r="E9" s="147" t="s">
        <v>273</v>
      </c>
      <c r="F9" s="147" t="s">
        <v>274</v>
      </c>
      <c r="G9" s="147" t="s">
        <v>275</v>
      </c>
      <c r="H9" s="147">
        <v>8</v>
      </c>
    </row>
    <row r="10" spans="1:8" ht="15">
      <c r="A10" s="185">
        <v>1</v>
      </c>
      <c r="B10" s="842" t="s">
        <v>873</v>
      </c>
      <c r="C10" s="245" t="s">
        <v>831</v>
      </c>
      <c r="D10" s="833" t="s">
        <v>872</v>
      </c>
      <c r="E10" s="834"/>
      <c r="F10" s="834"/>
      <c r="G10" s="834"/>
      <c r="H10" s="835"/>
    </row>
    <row r="11" spans="1:8" ht="15">
      <c r="A11" s="185">
        <v>2</v>
      </c>
      <c r="B11" s="843"/>
      <c r="C11" s="245" t="s">
        <v>832</v>
      </c>
      <c r="D11" s="836"/>
      <c r="E11" s="837"/>
      <c r="F11" s="837"/>
      <c r="G11" s="837"/>
      <c r="H11" s="838"/>
    </row>
    <row r="12" spans="1:8" ht="15">
      <c r="A12" s="185">
        <v>3</v>
      </c>
      <c r="B12" s="843"/>
      <c r="C12" s="245" t="s">
        <v>833</v>
      </c>
      <c r="D12" s="836"/>
      <c r="E12" s="837"/>
      <c r="F12" s="837"/>
      <c r="G12" s="837"/>
      <c r="H12" s="838"/>
    </row>
    <row r="13" spans="1:8" ht="15">
      <c r="A13" s="185">
        <v>4</v>
      </c>
      <c r="B13" s="843"/>
      <c r="C13" s="245" t="s">
        <v>834</v>
      </c>
      <c r="D13" s="836"/>
      <c r="E13" s="837"/>
      <c r="F13" s="837"/>
      <c r="G13" s="837"/>
      <c r="H13" s="838"/>
    </row>
    <row r="14" spans="1:8" ht="15">
      <c r="A14" s="185">
        <v>5</v>
      </c>
      <c r="B14" s="843"/>
      <c r="C14" s="245" t="s">
        <v>835</v>
      </c>
      <c r="D14" s="836"/>
      <c r="E14" s="837"/>
      <c r="F14" s="837"/>
      <c r="G14" s="837"/>
      <c r="H14" s="838"/>
    </row>
    <row r="15" spans="1:8" ht="15">
      <c r="A15" s="185">
        <v>6</v>
      </c>
      <c r="B15" s="843"/>
      <c r="C15" s="245" t="s">
        <v>836</v>
      </c>
      <c r="D15" s="836"/>
      <c r="E15" s="837"/>
      <c r="F15" s="837"/>
      <c r="G15" s="837"/>
      <c r="H15" s="838"/>
    </row>
    <row r="16" spans="1:8" ht="15">
      <c r="A16" s="185">
        <v>7</v>
      </c>
      <c r="B16" s="843"/>
      <c r="C16" s="245" t="s">
        <v>837</v>
      </c>
      <c r="D16" s="836"/>
      <c r="E16" s="837"/>
      <c r="F16" s="837"/>
      <c r="G16" s="837"/>
      <c r="H16" s="838"/>
    </row>
    <row r="17" spans="1:8" ht="15">
      <c r="A17" s="185">
        <v>8</v>
      </c>
      <c r="B17" s="843"/>
      <c r="C17" s="245" t="s">
        <v>838</v>
      </c>
      <c r="D17" s="836"/>
      <c r="E17" s="837"/>
      <c r="F17" s="837"/>
      <c r="G17" s="837"/>
      <c r="H17" s="838"/>
    </row>
    <row r="18" spans="1:8" ht="15">
      <c r="A18" s="185">
        <v>9</v>
      </c>
      <c r="B18" s="843"/>
      <c r="C18" s="245" t="s">
        <v>839</v>
      </c>
      <c r="D18" s="836"/>
      <c r="E18" s="837"/>
      <c r="F18" s="837"/>
      <c r="G18" s="837"/>
      <c r="H18" s="838"/>
    </row>
    <row r="19" spans="1:8" ht="15">
      <c r="A19" s="185">
        <v>10</v>
      </c>
      <c r="B19" s="843"/>
      <c r="C19" s="245" t="s">
        <v>840</v>
      </c>
      <c r="D19" s="836"/>
      <c r="E19" s="837"/>
      <c r="F19" s="837"/>
      <c r="G19" s="837"/>
      <c r="H19" s="838"/>
    </row>
    <row r="20" spans="1:8" ht="15">
      <c r="A20" s="185">
        <v>11</v>
      </c>
      <c r="B20" s="843"/>
      <c r="C20" s="245" t="s">
        <v>841</v>
      </c>
      <c r="D20" s="836"/>
      <c r="E20" s="837"/>
      <c r="F20" s="837"/>
      <c r="G20" s="837"/>
      <c r="H20" s="838"/>
    </row>
    <row r="21" spans="1:8" ht="15">
      <c r="A21" s="185">
        <v>12</v>
      </c>
      <c r="B21" s="843"/>
      <c r="C21" s="245" t="s">
        <v>842</v>
      </c>
      <c r="D21" s="836"/>
      <c r="E21" s="837"/>
      <c r="F21" s="837"/>
      <c r="G21" s="837"/>
      <c r="H21" s="838"/>
    </row>
    <row r="22" spans="1:8" ht="15">
      <c r="A22" s="185">
        <v>13</v>
      </c>
      <c r="B22" s="843"/>
      <c r="C22" s="245" t="s">
        <v>843</v>
      </c>
      <c r="D22" s="836"/>
      <c r="E22" s="837"/>
      <c r="F22" s="837"/>
      <c r="G22" s="837"/>
      <c r="H22" s="838"/>
    </row>
    <row r="23" spans="1:8" ht="15">
      <c r="A23" s="185">
        <v>14</v>
      </c>
      <c r="B23" s="843"/>
      <c r="C23" s="245" t="s">
        <v>844</v>
      </c>
      <c r="D23" s="836"/>
      <c r="E23" s="837"/>
      <c r="F23" s="837"/>
      <c r="G23" s="837"/>
      <c r="H23" s="838"/>
    </row>
    <row r="24" spans="1:8" ht="15">
      <c r="A24" s="185">
        <v>15</v>
      </c>
      <c r="B24" s="843"/>
      <c r="C24" s="245" t="s">
        <v>845</v>
      </c>
      <c r="D24" s="836"/>
      <c r="E24" s="837"/>
      <c r="F24" s="837"/>
      <c r="G24" s="837"/>
      <c r="H24" s="838"/>
    </row>
    <row r="25" spans="1:8" ht="15">
      <c r="A25" s="185">
        <v>16</v>
      </c>
      <c r="B25" s="843"/>
      <c r="C25" s="245" t="s">
        <v>846</v>
      </c>
      <c r="D25" s="836"/>
      <c r="E25" s="837"/>
      <c r="F25" s="837"/>
      <c r="G25" s="837"/>
      <c r="H25" s="838"/>
    </row>
    <row r="26" spans="1:8" ht="15">
      <c r="A26" s="185">
        <v>17</v>
      </c>
      <c r="B26" s="843"/>
      <c r="C26" s="245" t="s">
        <v>847</v>
      </c>
      <c r="D26" s="836"/>
      <c r="E26" s="837"/>
      <c r="F26" s="837"/>
      <c r="G26" s="837"/>
      <c r="H26" s="838"/>
    </row>
    <row r="27" spans="1:8" ht="15">
      <c r="A27" s="185">
        <v>18</v>
      </c>
      <c r="B27" s="843"/>
      <c r="C27" s="245" t="s">
        <v>848</v>
      </c>
      <c r="D27" s="836"/>
      <c r="E27" s="837"/>
      <c r="F27" s="837"/>
      <c r="G27" s="837"/>
      <c r="H27" s="838"/>
    </row>
    <row r="28" spans="1:8" ht="15">
      <c r="A28" s="185">
        <v>19</v>
      </c>
      <c r="B28" s="843"/>
      <c r="C28" s="245" t="s">
        <v>849</v>
      </c>
      <c r="D28" s="836"/>
      <c r="E28" s="837"/>
      <c r="F28" s="837"/>
      <c r="G28" s="837"/>
      <c r="H28" s="838"/>
    </row>
    <row r="29" spans="1:8" ht="15">
      <c r="A29" s="185">
        <v>20</v>
      </c>
      <c r="B29" s="843"/>
      <c r="C29" s="245" t="s">
        <v>850</v>
      </c>
      <c r="D29" s="836"/>
      <c r="E29" s="837"/>
      <c r="F29" s="837"/>
      <c r="G29" s="837"/>
      <c r="H29" s="838"/>
    </row>
    <row r="30" spans="1:9" ht="15">
      <c r="A30" s="185">
        <v>21</v>
      </c>
      <c r="B30" s="843"/>
      <c r="C30" s="245" t="s">
        <v>851</v>
      </c>
      <c r="D30" s="836"/>
      <c r="E30" s="837"/>
      <c r="F30" s="837"/>
      <c r="G30" s="837"/>
      <c r="H30" s="838"/>
      <c r="I30" s="12" t="s">
        <v>400</v>
      </c>
    </row>
    <row r="31" spans="1:8" ht="15">
      <c r="A31" s="185">
        <v>22</v>
      </c>
      <c r="B31" s="843"/>
      <c r="C31" s="245" t="s">
        <v>852</v>
      </c>
      <c r="D31" s="836"/>
      <c r="E31" s="837"/>
      <c r="F31" s="837"/>
      <c r="G31" s="837"/>
      <c r="H31" s="838"/>
    </row>
    <row r="32" spans="1:8" ht="15">
      <c r="A32" s="185">
        <v>23</v>
      </c>
      <c r="B32" s="843"/>
      <c r="C32" s="245" t="s">
        <v>853</v>
      </c>
      <c r="D32" s="836"/>
      <c r="E32" s="837"/>
      <c r="F32" s="837"/>
      <c r="G32" s="837"/>
      <c r="H32" s="838"/>
    </row>
    <row r="33" spans="1:8" ht="15">
      <c r="A33" s="185">
        <v>24</v>
      </c>
      <c r="B33" s="844"/>
      <c r="C33" s="245" t="s">
        <v>854</v>
      </c>
      <c r="D33" s="836"/>
      <c r="E33" s="837"/>
      <c r="F33" s="837"/>
      <c r="G33" s="837"/>
      <c r="H33" s="838"/>
    </row>
    <row r="34" spans="1:8" ht="12.75">
      <c r="A34" s="572" t="s">
        <v>13</v>
      </c>
      <c r="B34" s="572"/>
      <c r="C34" s="15"/>
      <c r="D34" s="839"/>
      <c r="E34" s="840"/>
      <c r="F34" s="840"/>
      <c r="G34" s="840"/>
      <c r="H34" s="841"/>
    </row>
    <row r="37" spans="1:8" ht="12.75" customHeight="1">
      <c r="A37" s="148"/>
      <c r="B37" s="148"/>
      <c r="C37" s="148"/>
      <c r="D37" s="148"/>
      <c r="F37" s="161"/>
      <c r="G37" s="161"/>
      <c r="H37" s="161"/>
    </row>
    <row r="38" spans="1:8" ht="12.75" customHeight="1">
      <c r="A38" s="559" t="s">
        <v>989</v>
      </c>
      <c r="B38" s="559"/>
      <c r="C38" s="359"/>
      <c r="D38" s="559" t="s">
        <v>990</v>
      </c>
      <c r="E38" s="559"/>
      <c r="F38" s="359"/>
      <c r="G38" s="559" t="s">
        <v>996</v>
      </c>
      <c r="H38" s="559"/>
    </row>
    <row r="39" spans="1:8" ht="12.75" customHeight="1">
      <c r="A39" s="559" t="s">
        <v>991</v>
      </c>
      <c r="B39" s="559"/>
      <c r="C39" s="359"/>
      <c r="D39" s="559" t="s">
        <v>992</v>
      </c>
      <c r="E39" s="559"/>
      <c r="F39" s="359"/>
      <c r="G39" s="559" t="s">
        <v>993</v>
      </c>
      <c r="H39" s="559"/>
    </row>
    <row r="40" spans="1:8" ht="12.75">
      <c r="A40" s="559" t="s">
        <v>994</v>
      </c>
      <c r="B40" s="559"/>
      <c r="C40" s="359"/>
      <c r="D40" s="559" t="s">
        <v>995</v>
      </c>
      <c r="E40" s="559"/>
      <c r="F40" s="359"/>
      <c r="G40" s="559" t="s">
        <v>995</v>
      </c>
      <c r="H40" s="559"/>
    </row>
  </sheetData>
  <sheetProtection/>
  <mergeCells count="21">
    <mergeCell ref="C7:C8"/>
    <mergeCell ref="G39:H39"/>
    <mergeCell ref="B10:B33"/>
    <mergeCell ref="D38:E38"/>
    <mergeCell ref="A38:B38"/>
    <mergeCell ref="A2:H2"/>
    <mergeCell ref="G38:H38"/>
    <mergeCell ref="B7:B8"/>
    <mergeCell ref="D7:E7"/>
    <mergeCell ref="A5:H5"/>
    <mergeCell ref="A3:H3"/>
    <mergeCell ref="A7:A8"/>
    <mergeCell ref="D10:H34"/>
    <mergeCell ref="F7:G7"/>
    <mergeCell ref="A40:B40"/>
    <mergeCell ref="D40:E40"/>
    <mergeCell ref="G40:H40"/>
    <mergeCell ref="H7:H8"/>
    <mergeCell ref="A34:B34"/>
    <mergeCell ref="A39:B39"/>
    <mergeCell ref="D39:E3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42.xml><?xml version="1.0" encoding="utf-8"?>
<worksheet xmlns="http://schemas.openxmlformats.org/spreadsheetml/2006/main" xmlns:r="http://schemas.openxmlformats.org/officeDocument/2006/relationships">
  <sheetPr>
    <tabColor rgb="FF92D050"/>
    <pageSetUpPr fitToPage="1"/>
  </sheetPr>
  <dimension ref="A1:N41"/>
  <sheetViews>
    <sheetView view="pageBreakPreview" zoomScale="70" zoomScaleNormal="85" zoomScaleSheetLayoutView="70" zoomScalePageLayoutView="0" workbookViewId="0" topLeftCell="A1">
      <selection activeCell="R55" sqref="R55"/>
    </sheetView>
  </sheetViews>
  <sheetFormatPr defaultColWidth="9.140625" defaultRowHeight="12.75"/>
  <cols>
    <col min="1" max="1" width="6.421875" style="12" customWidth="1"/>
    <col min="2" max="2" width="16.140625" style="12" customWidth="1"/>
    <col min="3" max="3" width="15.28125" style="12" customWidth="1"/>
    <col min="4" max="5" width="15.421875" style="12" customWidth="1"/>
    <col min="6" max="9" width="15.7109375" style="12" customWidth="1"/>
    <col min="10" max="10" width="15.421875" style="12" customWidth="1"/>
    <col min="11" max="11" width="20.00390625" style="12" customWidth="1"/>
    <col min="12" max="12" width="14.28125" style="12" customWidth="1"/>
    <col min="13" max="16384" width="9.140625" style="12" customWidth="1"/>
  </cols>
  <sheetData>
    <row r="1" ht="12.75">
      <c r="L1" s="465" t="s">
        <v>529</v>
      </c>
    </row>
    <row r="2" spans="1:12" ht="18">
      <c r="A2" s="772" t="s">
        <v>0</v>
      </c>
      <c r="B2" s="772"/>
      <c r="C2" s="772"/>
      <c r="D2" s="772"/>
      <c r="E2" s="772"/>
      <c r="F2" s="772"/>
      <c r="G2" s="772"/>
      <c r="H2" s="772"/>
      <c r="I2" s="772"/>
      <c r="J2" s="772"/>
      <c r="K2" s="772"/>
      <c r="L2" s="772"/>
    </row>
    <row r="3" spans="1:12" ht="18">
      <c r="A3" s="772" t="s">
        <v>645</v>
      </c>
      <c r="B3" s="772"/>
      <c r="C3" s="772"/>
      <c r="D3" s="772"/>
      <c r="E3" s="772"/>
      <c r="F3" s="772"/>
      <c r="G3" s="772"/>
      <c r="H3" s="772"/>
      <c r="I3" s="772"/>
      <c r="J3" s="772"/>
      <c r="K3" s="772"/>
      <c r="L3" s="772"/>
    </row>
    <row r="4" spans="1:11" ht="15">
      <c r="A4" s="143"/>
      <c r="B4" s="143"/>
      <c r="C4" s="143"/>
      <c r="D4" s="143"/>
      <c r="E4" s="143"/>
      <c r="F4" s="143"/>
      <c r="G4" s="143"/>
      <c r="H4" s="143"/>
      <c r="I4" s="143"/>
      <c r="J4" s="143"/>
      <c r="K4" s="143"/>
    </row>
    <row r="5" spans="1:12" ht="18">
      <c r="A5" s="772" t="s">
        <v>528</v>
      </c>
      <c r="B5" s="772"/>
      <c r="C5" s="772"/>
      <c r="D5" s="772"/>
      <c r="E5" s="772"/>
      <c r="F5" s="772"/>
      <c r="G5" s="772"/>
      <c r="H5" s="772"/>
      <c r="I5" s="772"/>
      <c r="J5" s="772"/>
      <c r="K5" s="772"/>
      <c r="L5" s="772"/>
    </row>
    <row r="6" spans="1:11" ht="15">
      <c r="A6" s="144" t="s">
        <v>262</v>
      </c>
      <c r="B6" s="144"/>
      <c r="C6" s="144"/>
      <c r="D6" s="144"/>
      <c r="E6" s="144"/>
      <c r="F6" s="144"/>
      <c r="G6" s="144"/>
      <c r="H6" s="144"/>
      <c r="I6" s="144"/>
      <c r="J6" s="144"/>
      <c r="K6" s="347" t="s">
        <v>959</v>
      </c>
    </row>
    <row r="7" spans="1:12" ht="21.75" customHeight="1">
      <c r="A7" s="854" t="s">
        <v>1</v>
      </c>
      <c r="B7" s="854" t="s">
        <v>31</v>
      </c>
      <c r="C7" s="574" t="s">
        <v>470</v>
      </c>
      <c r="D7" s="625"/>
      <c r="E7" s="575"/>
      <c r="F7" s="574" t="s">
        <v>476</v>
      </c>
      <c r="G7" s="625"/>
      <c r="H7" s="625"/>
      <c r="I7" s="575"/>
      <c r="J7" s="573" t="s">
        <v>478</v>
      </c>
      <c r="K7" s="573"/>
      <c r="L7" s="573"/>
    </row>
    <row r="8" spans="1:12" ht="29.25" customHeight="1">
      <c r="A8" s="855"/>
      <c r="B8" s="855"/>
      <c r="C8" s="174" t="s">
        <v>217</v>
      </c>
      <c r="D8" s="174" t="s">
        <v>472</v>
      </c>
      <c r="E8" s="174" t="s">
        <v>477</v>
      </c>
      <c r="F8" s="174" t="s">
        <v>217</v>
      </c>
      <c r="G8" s="174" t="s">
        <v>471</v>
      </c>
      <c r="H8" s="174" t="s">
        <v>473</v>
      </c>
      <c r="I8" s="174" t="s">
        <v>477</v>
      </c>
      <c r="J8" s="5" t="s">
        <v>474</v>
      </c>
      <c r="K8" s="5" t="s">
        <v>475</v>
      </c>
      <c r="L8" s="174" t="s">
        <v>477</v>
      </c>
    </row>
    <row r="9" spans="1:12" ht="15">
      <c r="A9" s="147" t="s">
        <v>269</v>
      </c>
      <c r="B9" s="147" t="s">
        <v>270</v>
      </c>
      <c r="C9" s="147" t="s">
        <v>271</v>
      </c>
      <c r="D9" s="147" t="s">
        <v>272</v>
      </c>
      <c r="E9" s="147" t="s">
        <v>273</v>
      </c>
      <c r="F9" s="147" t="s">
        <v>274</v>
      </c>
      <c r="G9" s="147" t="s">
        <v>275</v>
      </c>
      <c r="H9" s="147" t="s">
        <v>276</v>
      </c>
      <c r="I9" s="147" t="s">
        <v>295</v>
      </c>
      <c r="J9" s="147" t="s">
        <v>296</v>
      </c>
      <c r="K9" s="147" t="s">
        <v>297</v>
      </c>
      <c r="L9" s="147" t="s">
        <v>325</v>
      </c>
    </row>
    <row r="10" spans="1:12" ht="15">
      <c r="A10" s="147">
        <v>1</v>
      </c>
      <c r="B10" s="245" t="s">
        <v>831</v>
      </c>
      <c r="C10" s="845" t="s">
        <v>874</v>
      </c>
      <c r="D10" s="846"/>
      <c r="E10" s="846"/>
      <c r="F10" s="846"/>
      <c r="G10" s="846"/>
      <c r="H10" s="846"/>
      <c r="I10" s="846"/>
      <c r="J10" s="846"/>
      <c r="K10" s="846"/>
      <c r="L10" s="847"/>
    </row>
    <row r="11" spans="1:12" ht="15">
      <c r="A11" s="147">
        <v>2</v>
      </c>
      <c r="B11" s="245" t="s">
        <v>832</v>
      </c>
      <c r="C11" s="848"/>
      <c r="D11" s="849"/>
      <c r="E11" s="849"/>
      <c r="F11" s="849"/>
      <c r="G11" s="849"/>
      <c r="H11" s="849"/>
      <c r="I11" s="849"/>
      <c r="J11" s="849"/>
      <c r="K11" s="849"/>
      <c r="L11" s="850"/>
    </row>
    <row r="12" spans="1:12" ht="15">
      <c r="A12" s="147">
        <v>3</v>
      </c>
      <c r="B12" s="245" t="s">
        <v>833</v>
      </c>
      <c r="C12" s="848"/>
      <c r="D12" s="849"/>
      <c r="E12" s="849"/>
      <c r="F12" s="849"/>
      <c r="G12" s="849"/>
      <c r="H12" s="849"/>
      <c r="I12" s="849"/>
      <c r="J12" s="849"/>
      <c r="K12" s="849"/>
      <c r="L12" s="850"/>
    </row>
    <row r="13" spans="1:12" ht="15">
      <c r="A13" s="147">
        <v>4</v>
      </c>
      <c r="B13" s="245" t="s">
        <v>834</v>
      </c>
      <c r="C13" s="848"/>
      <c r="D13" s="849"/>
      <c r="E13" s="849"/>
      <c r="F13" s="849"/>
      <c r="G13" s="849"/>
      <c r="H13" s="849"/>
      <c r="I13" s="849"/>
      <c r="J13" s="849"/>
      <c r="K13" s="849"/>
      <c r="L13" s="850"/>
    </row>
    <row r="14" spans="1:12" ht="15">
      <c r="A14" s="147">
        <v>5</v>
      </c>
      <c r="B14" s="245" t="s">
        <v>835</v>
      </c>
      <c r="C14" s="848"/>
      <c r="D14" s="849"/>
      <c r="E14" s="849"/>
      <c r="F14" s="849"/>
      <c r="G14" s="849"/>
      <c r="H14" s="849"/>
      <c r="I14" s="849"/>
      <c r="J14" s="849"/>
      <c r="K14" s="849"/>
      <c r="L14" s="850"/>
    </row>
    <row r="15" spans="1:12" ht="15">
      <c r="A15" s="147">
        <v>6</v>
      </c>
      <c r="B15" s="245" t="s">
        <v>836</v>
      </c>
      <c r="C15" s="848"/>
      <c r="D15" s="849"/>
      <c r="E15" s="849"/>
      <c r="F15" s="849"/>
      <c r="G15" s="849"/>
      <c r="H15" s="849"/>
      <c r="I15" s="849"/>
      <c r="J15" s="849"/>
      <c r="K15" s="849"/>
      <c r="L15" s="850"/>
    </row>
    <row r="16" spans="1:12" ht="15">
      <c r="A16" s="147">
        <v>7</v>
      </c>
      <c r="B16" s="245" t="s">
        <v>837</v>
      </c>
      <c r="C16" s="848"/>
      <c r="D16" s="849"/>
      <c r="E16" s="849"/>
      <c r="F16" s="849"/>
      <c r="G16" s="849"/>
      <c r="H16" s="849"/>
      <c r="I16" s="849"/>
      <c r="J16" s="849"/>
      <c r="K16" s="849"/>
      <c r="L16" s="850"/>
    </row>
    <row r="17" spans="1:12" ht="15">
      <c r="A17" s="147">
        <v>8</v>
      </c>
      <c r="B17" s="245" t="s">
        <v>838</v>
      </c>
      <c r="C17" s="848"/>
      <c r="D17" s="849"/>
      <c r="E17" s="849"/>
      <c r="F17" s="849"/>
      <c r="G17" s="849"/>
      <c r="H17" s="849"/>
      <c r="I17" s="849"/>
      <c r="J17" s="849"/>
      <c r="K17" s="849"/>
      <c r="L17" s="850"/>
    </row>
    <row r="18" spans="1:12" ht="15">
      <c r="A18" s="147">
        <v>9</v>
      </c>
      <c r="B18" s="245" t="s">
        <v>839</v>
      </c>
      <c r="C18" s="848"/>
      <c r="D18" s="849"/>
      <c r="E18" s="849"/>
      <c r="F18" s="849"/>
      <c r="G18" s="849"/>
      <c r="H18" s="849"/>
      <c r="I18" s="849"/>
      <c r="J18" s="849"/>
      <c r="K18" s="849"/>
      <c r="L18" s="850"/>
    </row>
    <row r="19" spans="1:12" ht="15">
      <c r="A19" s="147">
        <v>10</v>
      </c>
      <c r="B19" s="245" t="s">
        <v>840</v>
      </c>
      <c r="C19" s="848"/>
      <c r="D19" s="849"/>
      <c r="E19" s="849"/>
      <c r="F19" s="849"/>
      <c r="G19" s="849"/>
      <c r="H19" s="849"/>
      <c r="I19" s="849"/>
      <c r="J19" s="849"/>
      <c r="K19" s="849"/>
      <c r="L19" s="850"/>
    </row>
    <row r="20" spans="1:12" ht="15">
      <c r="A20" s="147">
        <v>11</v>
      </c>
      <c r="B20" s="245" t="s">
        <v>841</v>
      </c>
      <c r="C20" s="848"/>
      <c r="D20" s="849"/>
      <c r="E20" s="849"/>
      <c r="F20" s="849"/>
      <c r="G20" s="849"/>
      <c r="H20" s="849"/>
      <c r="I20" s="849"/>
      <c r="J20" s="849"/>
      <c r="K20" s="849"/>
      <c r="L20" s="850"/>
    </row>
    <row r="21" spans="1:12" ht="15">
      <c r="A21" s="147">
        <v>12</v>
      </c>
      <c r="B21" s="245" t="s">
        <v>842</v>
      </c>
      <c r="C21" s="848"/>
      <c r="D21" s="849"/>
      <c r="E21" s="849"/>
      <c r="F21" s="849"/>
      <c r="G21" s="849"/>
      <c r="H21" s="849"/>
      <c r="I21" s="849"/>
      <c r="J21" s="849"/>
      <c r="K21" s="849"/>
      <c r="L21" s="850"/>
    </row>
    <row r="22" spans="1:12" ht="15">
      <c r="A22" s="147">
        <v>13</v>
      </c>
      <c r="B22" s="245" t="s">
        <v>843</v>
      </c>
      <c r="C22" s="848"/>
      <c r="D22" s="849"/>
      <c r="E22" s="849"/>
      <c r="F22" s="849"/>
      <c r="G22" s="849"/>
      <c r="H22" s="849"/>
      <c r="I22" s="849"/>
      <c r="J22" s="849"/>
      <c r="K22" s="849"/>
      <c r="L22" s="850"/>
    </row>
    <row r="23" spans="1:12" ht="15">
      <c r="A23" s="147">
        <v>14</v>
      </c>
      <c r="B23" s="245" t="s">
        <v>844</v>
      </c>
      <c r="C23" s="848"/>
      <c r="D23" s="849"/>
      <c r="E23" s="849"/>
      <c r="F23" s="849"/>
      <c r="G23" s="849"/>
      <c r="H23" s="849"/>
      <c r="I23" s="849"/>
      <c r="J23" s="849"/>
      <c r="K23" s="849"/>
      <c r="L23" s="850"/>
    </row>
    <row r="24" spans="1:12" ht="15">
      <c r="A24" s="147">
        <v>15</v>
      </c>
      <c r="B24" s="245" t="s">
        <v>845</v>
      </c>
      <c r="C24" s="848"/>
      <c r="D24" s="849"/>
      <c r="E24" s="849"/>
      <c r="F24" s="849"/>
      <c r="G24" s="849"/>
      <c r="H24" s="849"/>
      <c r="I24" s="849"/>
      <c r="J24" s="849"/>
      <c r="K24" s="849"/>
      <c r="L24" s="850"/>
    </row>
    <row r="25" spans="1:14" ht="15">
      <c r="A25" s="147">
        <v>16</v>
      </c>
      <c r="B25" s="245" t="s">
        <v>846</v>
      </c>
      <c r="C25" s="848"/>
      <c r="D25" s="849"/>
      <c r="E25" s="849"/>
      <c r="F25" s="849"/>
      <c r="G25" s="849"/>
      <c r="H25" s="849"/>
      <c r="I25" s="849"/>
      <c r="J25" s="849"/>
      <c r="K25" s="849"/>
      <c r="L25" s="850"/>
      <c r="N25" s="12" t="s">
        <v>9</v>
      </c>
    </row>
    <row r="26" spans="1:12" ht="15">
      <c r="A26" s="147">
        <v>17</v>
      </c>
      <c r="B26" s="245" t="s">
        <v>847</v>
      </c>
      <c r="C26" s="848"/>
      <c r="D26" s="849"/>
      <c r="E26" s="849"/>
      <c r="F26" s="849"/>
      <c r="G26" s="849"/>
      <c r="H26" s="849"/>
      <c r="I26" s="849"/>
      <c r="J26" s="849"/>
      <c r="K26" s="849"/>
      <c r="L26" s="850"/>
    </row>
    <row r="27" spans="1:12" ht="15">
      <c r="A27" s="147">
        <v>18</v>
      </c>
      <c r="B27" s="245" t="s">
        <v>848</v>
      </c>
      <c r="C27" s="848"/>
      <c r="D27" s="849"/>
      <c r="E27" s="849"/>
      <c r="F27" s="849"/>
      <c r="G27" s="849"/>
      <c r="H27" s="849"/>
      <c r="I27" s="849"/>
      <c r="J27" s="849"/>
      <c r="K27" s="849"/>
      <c r="L27" s="850"/>
    </row>
    <row r="28" spans="1:12" ht="15">
      <c r="A28" s="147">
        <v>19</v>
      </c>
      <c r="B28" s="245" t="s">
        <v>849</v>
      </c>
      <c r="C28" s="848"/>
      <c r="D28" s="849"/>
      <c r="E28" s="849"/>
      <c r="F28" s="849"/>
      <c r="G28" s="849"/>
      <c r="H28" s="849"/>
      <c r="I28" s="849"/>
      <c r="J28" s="849"/>
      <c r="K28" s="849"/>
      <c r="L28" s="850"/>
    </row>
    <row r="29" spans="1:12" ht="15">
      <c r="A29" s="147">
        <v>20</v>
      </c>
      <c r="B29" s="245" t="s">
        <v>850</v>
      </c>
      <c r="C29" s="848"/>
      <c r="D29" s="849"/>
      <c r="E29" s="849"/>
      <c r="F29" s="849"/>
      <c r="G29" s="849"/>
      <c r="H29" s="849"/>
      <c r="I29" s="849"/>
      <c r="J29" s="849"/>
      <c r="K29" s="849"/>
      <c r="L29" s="850"/>
    </row>
    <row r="30" spans="1:12" ht="15">
      <c r="A30" s="147">
        <v>21</v>
      </c>
      <c r="B30" s="245" t="s">
        <v>851</v>
      </c>
      <c r="C30" s="848"/>
      <c r="D30" s="849"/>
      <c r="E30" s="849"/>
      <c r="F30" s="849"/>
      <c r="G30" s="849"/>
      <c r="H30" s="849"/>
      <c r="I30" s="849"/>
      <c r="J30" s="849"/>
      <c r="K30" s="849"/>
      <c r="L30" s="850"/>
    </row>
    <row r="31" spans="1:12" ht="15">
      <c r="A31" s="147">
        <v>22</v>
      </c>
      <c r="B31" s="245" t="s">
        <v>852</v>
      </c>
      <c r="C31" s="848"/>
      <c r="D31" s="849"/>
      <c r="E31" s="849"/>
      <c r="F31" s="849"/>
      <c r="G31" s="849"/>
      <c r="H31" s="849"/>
      <c r="I31" s="849"/>
      <c r="J31" s="849"/>
      <c r="K31" s="849"/>
      <c r="L31" s="850"/>
    </row>
    <row r="32" spans="1:12" ht="15">
      <c r="A32" s="147">
        <v>23</v>
      </c>
      <c r="B32" s="245" t="s">
        <v>853</v>
      </c>
      <c r="C32" s="848"/>
      <c r="D32" s="849"/>
      <c r="E32" s="849"/>
      <c r="F32" s="849"/>
      <c r="G32" s="849"/>
      <c r="H32" s="849"/>
      <c r="I32" s="849"/>
      <c r="J32" s="849"/>
      <c r="K32" s="849"/>
      <c r="L32" s="850"/>
    </row>
    <row r="33" spans="1:12" ht="15">
      <c r="A33" s="147">
        <v>24</v>
      </c>
      <c r="B33" s="245" t="s">
        <v>854</v>
      </c>
      <c r="C33" s="848"/>
      <c r="D33" s="849"/>
      <c r="E33" s="849"/>
      <c r="F33" s="849"/>
      <c r="G33" s="849"/>
      <c r="H33" s="849"/>
      <c r="I33" s="849"/>
      <c r="J33" s="849"/>
      <c r="K33" s="849"/>
      <c r="L33" s="850"/>
    </row>
    <row r="34" spans="1:12" ht="12.75">
      <c r="A34" s="856" t="s">
        <v>13</v>
      </c>
      <c r="B34" s="857"/>
      <c r="C34" s="851"/>
      <c r="D34" s="852"/>
      <c r="E34" s="852"/>
      <c r="F34" s="852"/>
      <c r="G34" s="852"/>
      <c r="H34" s="852"/>
      <c r="I34" s="852"/>
      <c r="J34" s="852"/>
      <c r="K34" s="852"/>
      <c r="L34" s="853"/>
    </row>
    <row r="37" spans="1:11" ht="12.75" customHeight="1">
      <c r="A37" s="148"/>
      <c r="B37" s="148"/>
      <c r="C37" s="148"/>
      <c r="D37" s="148"/>
      <c r="E37" s="148"/>
      <c r="F37" s="148"/>
      <c r="K37" s="149"/>
    </row>
    <row r="38" spans="1:12" ht="12.75" customHeight="1">
      <c r="A38" s="148"/>
      <c r="B38" s="148"/>
      <c r="C38" s="148"/>
      <c r="D38" s="148"/>
      <c r="E38" s="148"/>
      <c r="F38" s="148"/>
      <c r="J38" s="161"/>
      <c r="K38" s="161"/>
      <c r="L38" s="161"/>
    </row>
    <row r="39" spans="1:11" ht="12.75" customHeight="1">
      <c r="A39" s="559" t="s">
        <v>989</v>
      </c>
      <c r="B39" s="559"/>
      <c r="C39" s="559"/>
      <c r="F39" s="559" t="s">
        <v>990</v>
      </c>
      <c r="G39" s="559"/>
      <c r="J39" s="559" t="s">
        <v>996</v>
      </c>
      <c r="K39" s="559"/>
    </row>
    <row r="40" spans="1:11" ht="12.75" customHeight="1">
      <c r="A40" s="559" t="s">
        <v>991</v>
      </c>
      <c r="B40" s="559"/>
      <c r="C40" s="559"/>
      <c r="F40" s="559" t="s">
        <v>992</v>
      </c>
      <c r="G40" s="559"/>
      <c r="J40" s="559" t="s">
        <v>993</v>
      </c>
      <c r="K40" s="559"/>
    </row>
    <row r="41" spans="1:11" ht="12.75">
      <c r="A41" s="559" t="s">
        <v>994</v>
      </c>
      <c r="B41" s="559"/>
      <c r="C41" s="559"/>
      <c r="F41" s="559" t="s">
        <v>995</v>
      </c>
      <c r="G41" s="559"/>
      <c r="J41" s="559" t="s">
        <v>995</v>
      </c>
      <c r="K41" s="559"/>
    </row>
  </sheetData>
  <sheetProtection/>
  <mergeCells count="19">
    <mergeCell ref="J40:K40"/>
    <mergeCell ref="A41:C41"/>
    <mergeCell ref="C10:L34"/>
    <mergeCell ref="C7:E7"/>
    <mergeCell ref="F7:I7"/>
    <mergeCell ref="J7:L7"/>
    <mergeCell ref="A7:A8"/>
    <mergeCell ref="B7:B8"/>
    <mergeCell ref="A34:B34"/>
    <mergeCell ref="A2:L2"/>
    <mergeCell ref="A3:L3"/>
    <mergeCell ref="A5:L5"/>
    <mergeCell ref="F41:G41"/>
    <mergeCell ref="J41:K41"/>
    <mergeCell ref="A39:C39"/>
    <mergeCell ref="F39:G39"/>
    <mergeCell ref="J39:K39"/>
    <mergeCell ref="A40:C40"/>
    <mergeCell ref="F40:G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43.xml><?xml version="1.0" encoding="utf-8"?>
<worksheet xmlns="http://schemas.openxmlformats.org/spreadsheetml/2006/main" xmlns:r="http://schemas.openxmlformats.org/officeDocument/2006/relationships">
  <sheetPr>
    <tabColor rgb="FF92D050"/>
    <pageSetUpPr fitToPage="1"/>
  </sheetPr>
  <dimension ref="A1:IV41"/>
  <sheetViews>
    <sheetView view="pageBreakPreview" zoomScale="70" zoomScaleSheetLayoutView="70" zoomScalePageLayoutView="0" workbookViewId="0" topLeftCell="AD1">
      <selection activeCell="BC54" sqref="BC54"/>
    </sheetView>
  </sheetViews>
  <sheetFormatPr defaultColWidth="9.140625" defaultRowHeight="12.75"/>
  <cols>
    <col min="1" max="1" width="7.7109375" style="12" customWidth="1"/>
    <col min="2" max="2" width="17.421875" style="12" customWidth="1"/>
    <col min="3" max="4" width="12.7109375" style="12" customWidth="1"/>
    <col min="5" max="5" width="12.8515625" style="12" customWidth="1"/>
    <col min="6" max="6" width="13.28125" style="12" customWidth="1"/>
    <col min="7" max="7" width="13.7109375" style="12" customWidth="1"/>
    <col min="8" max="8" width="12.421875" style="12" customWidth="1"/>
    <col min="9" max="9" width="15.57421875" style="12" customWidth="1"/>
    <col min="10" max="10" width="12.421875" style="12" customWidth="1"/>
    <col min="11" max="11" width="14.28125" style="12" customWidth="1"/>
    <col min="12" max="16384" width="9.140625" style="12" customWidth="1"/>
  </cols>
  <sheetData>
    <row r="1" spans="9:11" ht="18">
      <c r="I1" s="192"/>
      <c r="J1" s="192"/>
      <c r="K1" s="465" t="s">
        <v>531</v>
      </c>
    </row>
    <row r="2" spans="1:11" ht="18">
      <c r="A2" s="772" t="s">
        <v>0</v>
      </c>
      <c r="B2" s="772"/>
      <c r="C2" s="772"/>
      <c r="D2" s="772"/>
      <c r="E2" s="772"/>
      <c r="F2" s="772"/>
      <c r="G2" s="772"/>
      <c r="H2" s="772"/>
      <c r="I2" s="772"/>
      <c r="J2" s="772"/>
      <c r="K2" s="772"/>
    </row>
    <row r="3" spans="1:256" ht="21">
      <c r="A3" s="676" t="s">
        <v>645</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6"/>
      <c r="ED3" s="676"/>
      <c r="EE3" s="676"/>
      <c r="EF3" s="676"/>
      <c r="EG3" s="676"/>
      <c r="EH3" s="676"/>
      <c r="EI3" s="676"/>
      <c r="EJ3" s="676"/>
      <c r="EK3" s="676"/>
      <c r="EL3" s="676"/>
      <c r="EM3" s="676"/>
      <c r="EN3" s="676"/>
      <c r="EO3" s="676"/>
      <c r="EP3" s="676"/>
      <c r="EQ3" s="676"/>
      <c r="ER3" s="676"/>
      <c r="ES3" s="676"/>
      <c r="ET3" s="676"/>
      <c r="EU3" s="676"/>
      <c r="EV3" s="676"/>
      <c r="EW3" s="676"/>
      <c r="EX3" s="676"/>
      <c r="EY3" s="676"/>
      <c r="EZ3" s="676"/>
      <c r="FA3" s="676"/>
      <c r="FB3" s="676"/>
      <c r="FC3" s="676"/>
      <c r="FD3" s="676"/>
      <c r="FE3" s="676"/>
      <c r="FF3" s="676"/>
      <c r="FG3" s="676"/>
      <c r="FH3" s="676"/>
      <c r="FI3" s="676"/>
      <c r="FJ3" s="676"/>
      <c r="FK3" s="676"/>
      <c r="FL3" s="676"/>
      <c r="FM3" s="676"/>
      <c r="FN3" s="676"/>
      <c r="FO3" s="676"/>
      <c r="FP3" s="676"/>
      <c r="FQ3" s="676"/>
      <c r="FR3" s="676"/>
      <c r="FS3" s="676"/>
      <c r="FT3" s="676"/>
      <c r="FU3" s="676"/>
      <c r="FV3" s="676"/>
      <c r="FW3" s="676"/>
      <c r="FX3" s="676"/>
      <c r="FY3" s="676"/>
      <c r="FZ3" s="676"/>
      <c r="GA3" s="676"/>
      <c r="GB3" s="676"/>
      <c r="GC3" s="676"/>
      <c r="GD3" s="676"/>
      <c r="GE3" s="676"/>
      <c r="GF3" s="676"/>
      <c r="GG3" s="676"/>
      <c r="GH3" s="676"/>
      <c r="GI3" s="676"/>
      <c r="GJ3" s="676"/>
      <c r="GK3" s="676"/>
      <c r="GL3" s="676"/>
      <c r="GM3" s="676"/>
      <c r="GN3" s="676"/>
      <c r="GO3" s="676"/>
      <c r="GP3" s="676"/>
      <c r="GQ3" s="676"/>
      <c r="GR3" s="676"/>
      <c r="GS3" s="676"/>
      <c r="GT3" s="676"/>
      <c r="GU3" s="676"/>
      <c r="GV3" s="676"/>
      <c r="GW3" s="676"/>
      <c r="GX3" s="676"/>
      <c r="GY3" s="676"/>
      <c r="GZ3" s="676"/>
      <c r="HA3" s="676"/>
      <c r="HB3" s="676"/>
      <c r="HC3" s="676"/>
      <c r="HD3" s="676"/>
      <c r="HE3" s="676"/>
      <c r="HF3" s="676"/>
      <c r="HG3" s="676"/>
      <c r="HH3" s="676"/>
      <c r="HI3" s="676"/>
      <c r="HJ3" s="676"/>
      <c r="HK3" s="676"/>
      <c r="HL3" s="676"/>
      <c r="HM3" s="676"/>
      <c r="HN3" s="676"/>
      <c r="HO3" s="676"/>
      <c r="HP3" s="676"/>
      <c r="HQ3" s="676"/>
      <c r="HR3" s="676"/>
      <c r="HS3" s="676"/>
      <c r="HT3" s="676"/>
      <c r="HU3" s="676"/>
      <c r="HV3" s="676"/>
      <c r="HW3" s="676"/>
      <c r="HX3" s="676"/>
      <c r="HY3" s="676"/>
      <c r="HZ3" s="676"/>
      <c r="IA3" s="676"/>
      <c r="IB3" s="676"/>
      <c r="IC3" s="676"/>
      <c r="ID3" s="676"/>
      <c r="IE3" s="676"/>
      <c r="IF3" s="676"/>
      <c r="IG3" s="676"/>
      <c r="IH3" s="676"/>
      <c r="II3" s="676"/>
      <c r="IJ3" s="676"/>
      <c r="IK3" s="676"/>
      <c r="IL3" s="676"/>
      <c r="IM3" s="676"/>
      <c r="IN3" s="676"/>
      <c r="IO3" s="676"/>
      <c r="IP3" s="676"/>
      <c r="IQ3" s="676"/>
      <c r="IR3" s="676"/>
      <c r="IS3" s="676"/>
      <c r="IT3" s="676"/>
      <c r="IU3" s="676"/>
      <c r="IV3" s="676"/>
    </row>
    <row r="4" spans="1:10" ht="15">
      <c r="A4" s="143"/>
      <c r="B4" s="143"/>
      <c r="C4" s="143"/>
      <c r="D4" s="143"/>
      <c r="E4" s="143"/>
      <c r="F4" s="143"/>
      <c r="G4" s="143"/>
      <c r="H4" s="143"/>
      <c r="I4" s="143"/>
      <c r="J4" s="143"/>
    </row>
    <row r="5" spans="1:11" ht="21">
      <c r="A5" s="676" t="s">
        <v>530</v>
      </c>
      <c r="B5" s="676"/>
      <c r="C5" s="676"/>
      <c r="D5" s="676"/>
      <c r="E5" s="676"/>
      <c r="F5" s="676"/>
      <c r="G5" s="676"/>
      <c r="H5" s="676"/>
      <c r="I5" s="676"/>
      <c r="J5" s="676"/>
      <c r="K5" s="676"/>
    </row>
    <row r="6" spans="1:10" ht="15">
      <c r="A6" s="144" t="s">
        <v>262</v>
      </c>
      <c r="B6" s="144"/>
      <c r="C6" s="144"/>
      <c r="D6" s="144"/>
      <c r="E6" s="144"/>
      <c r="F6" s="144"/>
      <c r="G6" s="144"/>
      <c r="H6" s="144"/>
      <c r="I6" s="144"/>
      <c r="J6" s="347" t="s">
        <v>959</v>
      </c>
    </row>
    <row r="7" spans="1:11" ht="21.75" customHeight="1">
      <c r="A7" s="854" t="s">
        <v>1</v>
      </c>
      <c r="B7" s="854" t="s">
        <v>31</v>
      </c>
      <c r="C7" s="574" t="s">
        <v>488</v>
      </c>
      <c r="D7" s="625"/>
      <c r="E7" s="575"/>
      <c r="F7" s="574" t="s">
        <v>491</v>
      </c>
      <c r="G7" s="625"/>
      <c r="H7" s="575"/>
      <c r="I7" s="685" t="s">
        <v>709</v>
      </c>
      <c r="J7" s="685" t="s">
        <v>708</v>
      </c>
      <c r="K7" s="685" t="s">
        <v>72</v>
      </c>
    </row>
    <row r="8" spans="1:11" ht="26.25" customHeight="1">
      <c r="A8" s="855"/>
      <c r="B8" s="855"/>
      <c r="C8" s="5" t="s">
        <v>487</v>
      </c>
      <c r="D8" s="5" t="s">
        <v>489</v>
      </c>
      <c r="E8" s="5" t="s">
        <v>490</v>
      </c>
      <c r="F8" s="5" t="s">
        <v>487</v>
      </c>
      <c r="G8" s="5" t="s">
        <v>489</v>
      </c>
      <c r="H8" s="5" t="s">
        <v>490</v>
      </c>
      <c r="I8" s="686"/>
      <c r="J8" s="686"/>
      <c r="K8" s="686"/>
    </row>
    <row r="9" spans="1:11" ht="15">
      <c r="A9" s="186">
        <v>1</v>
      </c>
      <c r="B9" s="186">
        <v>2</v>
      </c>
      <c r="C9" s="186">
        <v>3</v>
      </c>
      <c r="D9" s="186">
        <v>4</v>
      </c>
      <c r="E9" s="186">
        <v>5</v>
      </c>
      <c r="F9" s="186">
        <v>6</v>
      </c>
      <c r="G9" s="186">
        <v>7</v>
      </c>
      <c r="H9" s="186">
        <v>8</v>
      </c>
      <c r="I9" s="186">
        <v>9</v>
      </c>
      <c r="J9" s="186">
        <v>10</v>
      </c>
      <c r="K9" s="186">
        <v>11</v>
      </c>
    </row>
    <row r="10" spans="1:11" ht="15" customHeight="1">
      <c r="A10" s="185">
        <v>1</v>
      </c>
      <c r="B10" s="245" t="s">
        <v>831</v>
      </c>
      <c r="C10" s="858" t="s">
        <v>875</v>
      </c>
      <c r="D10" s="859"/>
      <c r="E10" s="859"/>
      <c r="F10" s="859"/>
      <c r="G10" s="859"/>
      <c r="H10" s="859"/>
      <c r="I10" s="859"/>
      <c r="J10" s="859"/>
      <c r="K10" s="860"/>
    </row>
    <row r="11" spans="1:11" ht="15" customHeight="1">
      <c r="A11" s="185">
        <v>2</v>
      </c>
      <c r="B11" s="245" t="s">
        <v>832</v>
      </c>
      <c r="C11" s="861"/>
      <c r="D11" s="862"/>
      <c r="E11" s="862"/>
      <c r="F11" s="862"/>
      <c r="G11" s="862"/>
      <c r="H11" s="862"/>
      <c r="I11" s="862"/>
      <c r="J11" s="862"/>
      <c r="K11" s="863"/>
    </row>
    <row r="12" spans="1:11" ht="15" customHeight="1">
      <c r="A12" s="185">
        <v>3</v>
      </c>
      <c r="B12" s="245" t="s">
        <v>833</v>
      </c>
      <c r="C12" s="861"/>
      <c r="D12" s="862"/>
      <c r="E12" s="862"/>
      <c r="F12" s="862"/>
      <c r="G12" s="862"/>
      <c r="H12" s="862"/>
      <c r="I12" s="862"/>
      <c r="J12" s="862"/>
      <c r="K12" s="863"/>
    </row>
    <row r="13" spans="1:11" ht="15" customHeight="1">
      <c r="A13" s="185">
        <v>4</v>
      </c>
      <c r="B13" s="245" t="s">
        <v>834</v>
      </c>
      <c r="C13" s="861"/>
      <c r="D13" s="862"/>
      <c r="E13" s="862"/>
      <c r="F13" s="862"/>
      <c r="G13" s="862"/>
      <c r="H13" s="862"/>
      <c r="I13" s="862"/>
      <c r="J13" s="862"/>
      <c r="K13" s="863"/>
    </row>
    <row r="14" spans="1:11" ht="15" customHeight="1">
      <c r="A14" s="185">
        <v>5</v>
      </c>
      <c r="B14" s="245" t="s">
        <v>835</v>
      </c>
      <c r="C14" s="861"/>
      <c r="D14" s="862"/>
      <c r="E14" s="862"/>
      <c r="F14" s="862"/>
      <c r="G14" s="862"/>
      <c r="H14" s="862"/>
      <c r="I14" s="862"/>
      <c r="J14" s="862"/>
      <c r="K14" s="863"/>
    </row>
    <row r="15" spans="1:11" ht="15" customHeight="1">
      <c r="A15" s="185">
        <v>6</v>
      </c>
      <c r="B15" s="245" t="s">
        <v>836</v>
      </c>
      <c r="C15" s="861"/>
      <c r="D15" s="862"/>
      <c r="E15" s="862"/>
      <c r="F15" s="862"/>
      <c r="G15" s="862"/>
      <c r="H15" s="862"/>
      <c r="I15" s="862"/>
      <c r="J15" s="862"/>
      <c r="K15" s="863"/>
    </row>
    <row r="16" spans="1:11" ht="15" customHeight="1">
      <c r="A16" s="185">
        <v>7</v>
      </c>
      <c r="B16" s="245" t="s">
        <v>837</v>
      </c>
      <c r="C16" s="861"/>
      <c r="D16" s="862"/>
      <c r="E16" s="862"/>
      <c r="F16" s="862"/>
      <c r="G16" s="862"/>
      <c r="H16" s="862"/>
      <c r="I16" s="862"/>
      <c r="J16" s="862"/>
      <c r="K16" s="863"/>
    </row>
    <row r="17" spans="1:11" ht="15" customHeight="1">
      <c r="A17" s="185">
        <v>8</v>
      </c>
      <c r="B17" s="245" t="s">
        <v>838</v>
      </c>
      <c r="C17" s="861"/>
      <c r="D17" s="862"/>
      <c r="E17" s="862"/>
      <c r="F17" s="862"/>
      <c r="G17" s="862"/>
      <c r="H17" s="862"/>
      <c r="I17" s="862"/>
      <c r="J17" s="862"/>
      <c r="K17" s="863"/>
    </row>
    <row r="18" spans="1:11" ht="15" customHeight="1">
      <c r="A18" s="185">
        <v>9</v>
      </c>
      <c r="B18" s="245" t="s">
        <v>839</v>
      </c>
      <c r="C18" s="861"/>
      <c r="D18" s="862"/>
      <c r="E18" s="862"/>
      <c r="F18" s="862"/>
      <c r="G18" s="862"/>
      <c r="H18" s="862"/>
      <c r="I18" s="862"/>
      <c r="J18" s="862"/>
      <c r="K18" s="863"/>
    </row>
    <row r="19" spans="1:11" ht="15" customHeight="1">
      <c r="A19" s="185">
        <v>10</v>
      </c>
      <c r="B19" s="245" t="s">
        <v>840</v>
      </c>
      <c r="C19" s="861"/>
      <c r="D19" s="862"/>
      <c r="E19" s="862"/>
      <c r="F19" s="862"/>
      <c r="G19" s="862"/>
      <c r="H19" s="862"/>
      <c r="I19" s="862"/>
      <c r="J19" s="862"/>
      <c r="K19" s="863"/>
    </row>
    <row r="20" spans="1:11" ht="15" customHeight="1">
      <c r="A20" s="185">
        <v>11</v>
      </c>
      <c r="B20" s="245" t="s">
        <v>841</v>
      </c>
      <c r="C20" s="861"/>
      <c r="D20" s="862"/>
      <c r="E20" s="862"/>
      <c r="F20" s="862"/>
      <c r="G20" s="862"/>
      <c r="H20" s="862"/>
      <c r="I20" s="862"/>
      <c r="J20" s="862"/>
      <c r="K20" s="863"/>
    </row>
    <row r="21" spans="1:11" ht="15" customHeight="1">
      <c r="A21" s="185">
        <v>12</v>
      </c>
      <c r="B21" s="245" t="s">
        <v>842</v>
      </c>
      <c r="C21" s="861"/>
      <c r="D21" s="862"/>
      <c r="E21" s="862"/>
      <c r="F21" s="862"/>
      <c r="G21" s="862"/>
      <c r="H21" s="862"/>
      <c r="I21" s="862"/>
      <c r="J21" s="862"/>
      <c r="K21" s="863"/>
    </row>
    <row r="22" spans="1:11" ht="15" customHeight="1">
      <c r="A22" s="185">
        <v>13</v>
      </c>
      <c r="B22" s="245" t="s">
        <v>843</v>
      </c>
      <c r="C22" s="861"/>
      <c r="D22" s="862"/>
      <c r="E22" s="862"/>
      <c r="F22" s="862"/>
      <c r="G22" s="862"/>
      <c r="H22" s="862"/>
      <c r="I22" s="862"/>
      <c r="J22" s="862"/>
      <c r="K22" s="863"/>
    </row>
    <row r="23" spans="1:11" ht="15" customHeight="1">
      <c r="A23" s="185">
        <v>14</v>
      </c>
      <c r="B23" s="245" t="s">
        <v>844</v>
      </c>
      <c r="C23" s="861"/>
      <c r="D23" s="862"/>
      <c r="E23" s="862"/>
      <c r="F23" s="862"/>
      <c r="G23" s="862"/>
      <c r="H23" s="862"/>
      <c r="I23" s="862"/>
      <c r="J23" s="862"/>
      <c r="K23" s="863"/>
    </row>
    <row r="24" spans="1:11" ht="15" customHeight="1">
      <c r="A24" s="185">
        <v>15</v>
      </c>
      <c r="B24" s="245" t="s">
        <v>845</v>
      </c>
      <c r="C24" s="861"/>
      <c r="D24" s="862"/>
      <c r="E24" s="862"/>
      <c r="F24" s="862"/>
      <c r="G24" s="862"/>
      <c r="H24" s="862"/>
      <c r="I24" s="862"/>
      <c r="J24" s="862"/>
      <c r="K24" s="863"/>
    </row>
    <row r="25" spans="1:11" ht="15" customHeight="1">
      <c r="A25" s="185">
        <v>16</v>
      </c>
      <c r="B25" s="245" t="s">
        <v>846</v>
      </c>
      <c r="C25" s="861"/>
      <c r="D25" s="862"/>
      <c r="E25" s="862"/>
      <c r="F25" s="862"/>
      <c r="G25" s="862"/>
      <c r="H25" s="862"/>
      <c r="I25" s="862"/>
      <c r="J25" s="862"/>
      <c r="K25" s="863"/>
    </row>
    <row r="26" spans="1:13" ht="15" customHeight="1">
      <c r="A26" s="185">
        <v>17</v>
      </c>
      <c r="B26" s="245" t="s">
        <v>847</v>
      </c>
      <c r="C26" s="861"/>
      <c r="D26" s="862"/>
      <c r="E26" s="862"/>
      <c r="F26" s="862"/>
      <c r="G26" s="862"/>
      <c r="H26" s="862"/>
      <c r="I26" s="862"/>
      <c r="J26" s="862"/>
      <c r="K26" s="863"/>
      <c r="M26" s="12" t="s">
        <v>9</v>
      </c>
    </row>
    <row r="27" spans="1:11" ht="15" customHeight="1">
      <c r="A27" s="185">
        <v>18</v>
      </c>
      <c r="B27" s="245" t="s">
        <v>848</v>
      </c>
      <c r="C27" s="861"/>
      <c r="D27" s="862"/>
      <c r="E27" s="862"/>
      <c r="F27" s="862"/>
      <c r="G27" s="862"/>
      <c r="H27" s="862"/>
      <c r="I27" s="862"/>
      <c r="J27" s="862"/>
      <c r="K27" s="863"/>
    </row>
    <row r="28" spans="1:11" ht="15" customHeight="1">
      <c r="A28" s="185">
        <v>19</v>
      </c>
      <c r="B28" s="245" t="s">
        <v>849</v>
      </c>
      <c r="C28" s="861"/>
      <c r="D28" s="862"/>
      <c r="E28" s="862"/>
      <c r="F28" s="862"/>
      <c r="G28" s="862"/>
      <c r="H28" s="862"/>
      <c r="I28" s="862"/>
      <c r="J28" s="862"/>
      <c r="K28" s="863"/>
    </row>
    <row r="29" spans="1:11" ht="15" customHeight="1">
      <c r="A29" s="185">
        <v>20</v>
      </c>
      <c r="B29" s="245" t="s">
        <v>850</v>
      </c>
      <c r="C29" s="861"/>
      <c r="D29" s="862"/>
      <c r="E29" s="862"/>
      <c r="F29" s="862"/>
      <c r="G29" s="862"/>
      <c r="H29" s="862"/>
      <c r="I29" s="862"/>
      <c r="J29" s="862"/>
      <c r="K29" s="863"/>
    </row>
    <row r="30" spans="1:11" ht="15" customHeight="1">
      <c r="A30" s="185">
        <v>21</v>
      </c>
      <c r="B30" s="245" t="s">
        <v>851</v>
      </c>
      <c r="C30" s="861"/>
      <c r="D30" s="862"/>
      <c r="E30" s="862"/>
      <c r="F30" s="862"/>
      <c r="G30" s="862"/>
      <c r="H30" s="862"/>
      <c r="I30" s="862"/>
      <c r="J30" s="862"/>
      <c r="K30" s="863"/>
    </row>
    <row r="31" spans="1:11" ht="15" customHeight="1">
      <c r="A31" s="185">
        <v>22</v>
      </c>
      <c r="B31" s="245" t="s">
        <v>852</v>
      </c>
      <c r="C31" s="861"/>
      <c r="D31" s="862"/>
      <c r="E31" s="862"/>
      <c r="F31" s="862"/>
      <c r="G31" s="862"/>
      <c r="H31" s="862"/>
      <c r="I31" s="862"/>
      <c r="J31" s="862"/>
      <c r="K31" s="863"/>
    </row>
    <row r="32" spans="1:11" ht="15" customHeight="1">
      <c r="A32" s="185">
        <v>23</v>
      </c>
      <c r="B32" s="245" t="s">
        <v>853</v>
      </c>
      <c r="C32" s="861"/>
      <c r="D32" s="862"/>
      <c r="E32" s="862"/>
      <c r="F32" s="862"/>
      <c r="G32" s="862"/>
      <c r="H32" s="862"/>
      <c r="I32" s="862"/>
      <c r="J32" s="862"/>
      <c r="K32" s="863"/>
    </row>
    <row r="33" spans="1:11" ht="15" customHeight="1">
      <c r="A33" s="185">
        <v>24</v>
      </c>
      <c r="B33" s="245" t="s">
        <v>854</v>
      </c>
      <c r="C33" s="861"/>
      <c r="D33" s="862"/>
      <c r="E33" s="862"/>
      <c r="F33" s="862"/>
      <c r="G33" s="862"/>
      <c r="H33" s="862"/>
      <c r="I33" s="862"/>
      <c r="J33" s="862"/>
      <c r="K33" s="863"/>
    </row>
    <row r="34" spans="1:11" ht="12.75" customHeight="1">
      <c r="A34" s="560" t="s">
        <v>13</v>
      </c>
      <c r="B34" s="561"/>
      <c r="C34" s="864"/>
      <c r="D34" s="865"/>
      <c r="E34" s="865"/>
      <c r="F34" s="865"/>
      <c r="G34" s="865"/>
      <c r="H34" s="865"/>
      <c r="I34" s="865"/>
      <c r="J34" s="865"/>
      <c r="K34" s="866"/>
    </row>
    <row r="37" spans="1:6" ht="12.75" customHeight="1">
      <c r="A37" s="148"/>
      <c r="B37" s="148"/>
      <c r="C37" s="148"/>
      <c r="D37" s="148"/>
      <c r="E37" s="148"/>
      <c r="F37" s="148"/>
    </row>
    <row r="38" spans="1:11" ht="12.75" customHeight="1">
      <c r="A38" s="148"/>
      <c r="B38" s="148"/>
      <c r="C38" s="148"/>
      <c r="D38" s="148"/>
      <c r="E38" s="148"/>
      <c r="F38" s="148"/>
      <c r="G38" s="161"/>
      <c r="H38" s="161"/>
      <c r="I38" s="161"/>
      <c r="J38" s="161"/>
      <c r="K38" s="161"/>
    </row>
    <row r="39" spans="1:11" ht="12.75" customHeight="1">
      <c r="A39" s="559" t="s">
        <v>989</v>
      </c>
      <c r="B39" s="559"/>
      <c r="C39" s="559"/>
      <c r="F39" s="559" t="s">
        <v>990</v>
      </c>
      <c r="G39" s="559"/>
      <c r="I39" s="559" t="s">
        <v>996</v>
      </c>
      <c r="J39" s="559"/>
      <c r="K39" s="559"/>
    </row>
    <row r="40" spans="1:11" ht="12.75" customHeight="1">
      <c r="A40" s="559" t="s">
        <v>991</v>
      </c>
      <c r="B40" s="559"/>
      <c r="C40" s="559"/>
      <c r="F40" s="559" t="s">
        <v>992</v>
      </c>
      <c r="G40" s="559"/>
      <c r="I40" s="559" t="s">
        <v>993</v>
      </c>
      <c r="J40" s="559" t="s">
        <v>993</v>
      </c>
      <c r="K40" s="559"/>
    </row>
    <row r="41" spans="1:11" ht="12.75">
      <c r="A41" s="559" t="s">
        <v>994</v>
      </c>
      <c r="B41" s="559"/>
      <c r="C41" s="559"/>
      <c r="F41" s="559" t="s">
        <v>995</v>
      </c>
      <c r="G41" s="559"/>
      <c r="I41" s="559" t="s">
        <v>995</v>
      </c>
      <c r="J41" s="559" t="s">
        <v>995</v>
      </c>
      <c r="K41" s="559"/>
    </row>
  </sheetData>
  <sheetProtection/>
  <mergeCells count="44">
    <mergeCell ref="C7:E7"/>
    <mergeCell ref="A40:C40"/>
    <mergeCell ref="F40:G40"/>
    <mergeCell ref="F7:H7"/>
    <mergeCell ref="K7:K8"/>
    <mergeCell ref="A39:C39"/>
    <mergeCell ref="F39:G39"/>
    <mergeCell ref="I39:K39"/>
    <mergeCell ref="I7:I8"/>
    <mergeCell ref="J7:J8"/>
    <mergeCell ref="A41:C41"/>
    <mergeCell ref="F41:G41"/>
    <mergeCell ref="I40:K40"/>
    <mergeCell ref="I41:K41"/>
    <mergeCell ref="A3:K3"/>
    <mergeCell ref="A5:K5"/>
    <mergeCell ref="A34:B34"/>
    <mergeCell ref="C10:K34"/>
    <mergeCell ref="A7:A8"/>
    <mergeCell ref="B7:B8"/>
    <mergeCell ref="L3:V3"/>
    <mergeCell ref="W3:AG3"/>
    <mergeCell ref="AH3:AR3"/>
    <mergeCell ref="AS3:BC3"/>
    <mergeCell ref="BD3:BN3"/>
    <mergeCell ref="BO3:BY3"/>
    <mergeCell ref="GF3:GP3"/>
    <mergeCell ref="GQ3:HA3"/>
    <mergeCell ref="BZ3:CJ3"/>
    <mergeCell ref="CK3:CU3"/>
    <mergeCell ref="CV3:DF3"/>
    <mergeCell ref="DG3:DQ3"/>
    <mergeCell ref="DR3:EB3"/>
    <mergeCell ref="EC3:EM3"/>
    <mergeCell ref="HB3:HL3"/>
    <mergeCell ref="HM3:HW3"/>
    <mergeCell ref="HX3:IH3"/>
    <mergeCell ref="II3:IS3"/>
    <mergeCell ref="IT3:IV3"/>
    <mergeCell ref="A2:K2"/>
    <mergeCell ref="EN3:EX3"/>
    <mergeCell ref="EY3:FI3"/>
    <mergeCell ref="FJ3:FT3"/>
    <mergeCell ref="FU3:GE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worksheet>
</file>

<file path=xl/worksheets/sheet44.xml><?xml version="1.0" encoding="utf-8"?>
<worksheet xmlns="http://schemas.openxmlformats.org/spreadsheetml/2006/main" xmlns:r="http://schemas.openxmlformats.org/officeDocument/2006/relationships">
  <sheetPr>
    <tabColor rgb="FF92D050"/>
    <pageSetUpPr fitToPage="1"/>
  </sheetPr>
  <dimension ref="A1:L49"/>
  <sheetViews>
    <sheetView view="pageBreakPreview" zoomScale="70" zoomScaleNormal="85" zoomScaleSheetLayoutView="70" zoomScalePageLayoutView="0" workbookViewId="0" topLeftCell="A1">
      <selection activeCell="I36" sqref="I36:J36"/>
    </sheetView>
  </sheetViews>
  <sheetFormatPr defaultColWidth="9.140625" defaultRowHeight="12.75"/>
  <cols>
    <col min="1" max="1" width="7.421875" style="12" customWidth="1"/>
    <col min="2" max="2" width="15.140625" style="12" customWidth="1"/>
    <col min="3" max="4" width="12.7109375" style="12" customWidth="1"/>
    <col min="5" max="5" width="14.421875" style="12" customWidth="1"/>
    <col min="6" max="6" width="17.00390625" style="12" customWidth="1"/>
    <col min="7" max="7" width="15.7109375" style="12" customWidth="1"/>
    <col min="8" max="8" width="17.00390625" style="12" customWidth="1"/>
    <col min="9" max="9" width="15.00390625" style="12" customWidth="1"/>
    <col min="10" max="10" width="17.00390625" style="12" customWidth="1"/>
    <col min="11" max="11" width="14.140625" style="12" customWidth="1"/>
    <col min="12" max="12" width="16.57421875" style="12" customWidth="1"/>
    <col min="13" max="16384" width="9.140625" style="12" customWidth="1"/>
  </cols>
  <sheetData>
    <row r="1" spans="1:12" ht="15">
      <c r="A1" s="121"/>
      <c r="B1" s="121"/>
      <c r="C1" s="121"/>
      <c r="D1" s="121"/>
      <c r="E1" s="121"/>
      <c r="F1" s="121"/>
      <c r="G1" s="121"/>
      <c r="H1" s="121"/>
      <c r="K1" s="681" t="s">
        <v>80</v>
      </c>
      <c r="L1" s="681"/>
    </row>
    <row r="2" spans="1:12" ht="15.75">
      <c r="A2" s="656" t="s">
        <v>0</v>
      </c>
      <c r="B2" s="656"/>
      <c r="C2" s="656"/>
      <c r="D2" s="656"/>
      <c r="E2" s="656"/>
      <c r="F2" s="656"/>
      <c r="G2" s="656"/>
      <c r="H2" s="656"/>
      <c r="I2" s="656"/>
      <c r="J2" s="656"/>
      <c r="K2" s="656"/>
      <c r="L2" s="656"/>
    </row>
    <row r="3" spans="1:12" ht="20.25">
      <c r="A3" s="657" t="s">
        <v>645</v>
      </c>
      <c r="B3" s="657"/>
      <c r="C3" s="657"/>
      <c r="D3" s="657"/>
      <c r="E3" s="657"/>
      <c r="F3" s="657"/>
      <c r="G3" s="657"/>
      <c r="H3" s="657"/>
      <c r="I3" s="657"/>
      <c r="J3" s="657"/>
      <c r="K3" s="657"/>
      <c r="L3" s="657"/>
    </row>
    <row r="4" spans="1:12" ht="12.75">
      <c r="A4" s="121"/>
      <c r="B4" s="121"/>
      <c r="C4" s="121"/>
      <c r="D4" s="121"/>
      <c r="E4" s="121"/>
      <c r="F4" s="121"/>
      <c r="G4" s="121"/>
      <c r="H4" s="121"/>
      <c r="I4" s="121"/>
      <c r="J4" s="121"/>
      <c r="K4" s="121"/>
      <c r="L4" s="121"/>
    </row>
    <row r="5" spans="1:12" ht="15.75">
      <c r="A5" s="658" t="s">
        <v>685</v>
      </c>
      <c r="B5" s="658"/>
      <c r="C5" s="658"/>
      <c r="D5" s="658"/>
      <c r="E5" s="658"/>
      <c r="F5" s="658"/>
      <c r="G5" s="658"/>
      <c r="H5" s="658"/>
      <c r="I5" s="658"/>
      <c r="J5" s="658"/>
      <c r="K5" s="658"/>
      <c r="L5" s="658"/>
    </row>
    <row r="6" spans="1:12" ht="12.75">
      <c r="A6" s="121"/>
      <c r="B6" s="121"/>
      <c r="C6" s="121"/>
      <c r="D6" s="121"/>
      <c r="E6" s="121"/>
      <c r="F6" s="121"/>
      <c r="G6" s="121"/>
      <c r="H6" s="121"/>
      <c r="I6" s="121"/>
      <c r="J6" s="121"/>
      <c r="K6" s="121"/>
      <c r="L6" s="121"/>
    </row>
    <row r="7" spans="1:12" ht="12.75">
      <c r="A7" s="593" t="s">
        <v>157</v>
      </c>
      <c r="B7" s="593"/>
      <c r="C7" s="121"/>
      <c r="D7" s="121"/>
      <c r="E7" s="121"/>
      <c r="F7" s="121"/>
      <c r="G7" s="121"/>
      <c r="H7" s="187"/>
      <c r="I7" s="121"/>
      <c r="J7" s="121"/>
      <c r="K7" s="121"/>
      <c r="L7" s="121"/>
    </row>
    <row r="8" spans="1:12" ht="18.75">
      <c r="A8" s="71"/>
      <c r="B8" s="71"/>
      <c r="C8" s="121"/>
      <c r="D8" s="121"/>
      <c r="E8" s="121"/>
      <c r="F8" s="121"/>
      <c r="G8" s="121"/>
      <c r="H8" s="121"/>
      <c r="I8" s="86"/>
      <c r="J8" s="100"/>
      <c r="K8" s="347" t="s">
        <v>959</v>
      </c>
      <c r="L8" s="121"/>
    </row>
    <row r="9" spans="1:12" ht="27.75" customHeight="1">
      <c r="A9" s="869" t="s">
        <v>219</v>
      </c>
      <c r="B9" s="869" t="s">
        <v>218</v>
      </c>
      <c r="C9" s="573" t="s">
        <v>496</v>
      </c>
      <c r="D9" s="573" t="s">
        <v>497</v>
      </c>
      <c r="E9" s="571" t="s">
        <v>498</v>
      </c>
      <c r="F9" s="571"/>
      <c r="G9" s="571" t="s">
        <v>452</v>
      </c>
      <c r="H9" s="571"/>
      <c r="I9" s="571" t="s">
        <v>229</v>
      </c>
      <c r="J9" s="571"/>
      <c r="K9" s="867" t="s">
        <v>231</v>
      </c>
      <c r="L9" s="867"/>
    </row>
    <row r="10" spans="1:12" ht="25.5">
      <c r="A10" s="801"/>
      <c r="B10" s="801"/>
      <c r="C10" s="573"/>
      <c r="D10" s="573"/>
      <c r="E10" s="5" t="s">
        <v>217</v>
      </c>
      <c r="F10" s="5" t="s">
        <v>197</v>
      </c>
      <c r="G10" s="5" t="s">
        <v>217</v>
      </c>
      <c r="H10" s="5" t="s">
        <v>197</v>
      </c>
      <c r="I10" s="5" t="s">
        <v>217</v>
      </c>
      <c r="J10" s="5" t="s">
        <v>197</v>
      </c>
      <c r="K10" s="5" t="s">
        <v>217</v>
      </c>
      <c r="L10" s="5" t="s">
        <v>197</v>
      </c>
    </row>
    <row r="11" spans="1:12" s="11" customFormat="1" ht="12.75">
      <c r="A11" s="72">
        <v>1</v>
      </c>
      <c r="B11" s="72">
        <v>2</v>
      </c>
      <c r="C11" s="72">
        <v>3</v>
      </c>
      <c r="D11" s="72">
        <v>4</v>
      </c>
      <c r="E11" s="72">
        <v>5</v>
      </c>
      <c r="F11" s="72">
        <v>6</v>
      </c>
      <c r="G11" s="72">
        <v>7</v>
      </c>
      <c r="H11" s="72">
        <v>8</v>
      </c>
      <c r="I11" s="72">
        <v>9</v>
      </c>
      <c r="J11" s="72">
        <v>10</v>
      </c>
      <c r="K11" s="72">
        <v>11</v>
      </c>
      <c r="L11" s="72">
        <v>12</v>
      </c>
    </row>
    <row r="12" spans="1:12" ht="12.75">
      <c r="A12" s="500">
        <v>1</v>
      </c>
      <c r="B12" s="501" t="s">
        <v>831</v>
      </c>
      <c r="C12" s="191">
        <v>2486</v>
      </c>
      <c r="D12" s="191">
        <v>171369</v>
      </c>
      <c r="E12" s="191">
        <v>869</v>
      </c>
      <c r="F12" s="191">
        <v>83692</v>
      </c>
      <c r="G12" s="191">
        <v>742</v>
      </c>
      <c r="H12" s="191">
        <v>57497</v>
      </c>
      <c r="I12" s="191">
        <v>2523</v>
      </c>
      <c r="J12" s="191">
        <v>133150</v>
      </c>
      <c r="K12" s="191">
        <v>0</v>
      </c>
      <c r="L12" s="191">
        <v>0</v>
      </c>
    </row>
    <row r="13" spans="1:12" ht="12.75">
      <c r="A13" s="500">
        <v>2</v>
      </c>
      <c r="B13" s="501" t="s">
        <v>832</v>
      </c>
      <c r="C13" s="329">
        <v>996</v>
      </c>
      <c r="D13" s="329">
        <v>88160</v>
      </c>
      <c r="E13" s="329">
        <v>538</v>
      </c>
      <c r="F13" s="329">
        <v>57655</v>
      </c>
      <c r="G13" s="329">
        <v>804</v>
      </c>
      <c r="H13" s="329">
        <v>37018</v>
      </c>
      <c r="I13" s="329">
        <v>804</v>
      </c>
      <c r="J13" s="329">
        <v>37018</v>
      </c>
      <c r="K13" s="329">
        <v>0</v>
      </c>
      <c r="L13" s="329">
        <v>0</v>
      </c>
    </row>
    <row r="14" spans="1:12" ht="12.75">
      <c r="A14" s="500">
        <v>3</v>
      </c>
      <c r="B14" s="501" t="s">
        <v>833</v>
      </c>
      <c r="C14" s="329">
        <v>586</v>
      </c>
      <c r="D14" s="329">
        <v>74221</v>
      </c>
      <c r="E14" s="329">
        <v>198</v>
      </c>
      <c r="F14" s="329">
        <v>14276</v>
      </c>
      <c r="G14" s="329">
        <v>218</v>
      </c>
      <c r="H14" s="329">
        <v>25188</v>
      </c>
      <c r="I14" s="329">
        <v>218</v>
      </c>
      <c r="J14" s="329">
        <v>73990</v>
      </c>
      <c r="K14" s="329">
        <v>586</v>
      </c>
      <c r="L14" s="329">
        <v>0</v>
      </c>
    </row>
    <row r="15" spans="1:12" ht="12.75">
      <c r="A15" s="500">
        <v>4</v>
      </c>
      <c r="B15" s="501" t="s">
        <v>834</v>
      </c>
      <c r="C15" s="329">
        <v>1731</v>
      </c>
      <c r="D15" s="329">
        <v>124053</v>
      </c>
      <c r="E15" s="329">
        <v>1731</v>
      </c>
      <c r="F15" s="329">
        <v>38779</v>
      </c>
      <c r="G15" s="329">
        <v>1731</v>
      </c>
      <c r="H15" s="329">
        <v>38779</v>
      </c>
      <c r="I15" s="329">
        <v>1731</v>
      </c>
      <c r="J15" s="329">
        <v>26490</v>
      </c>
      <c r="K15" s="329">
        <v>0</v>
      </c>
      <c r="L15" s="329">
        <v>0</v>
      </c>
    </row>
    <row r="16" spans="1:12" ht="12.75">
      <c r="A16" s="500">
        <v>5</v>
      </c>
      <c r="B16" s="501" t="s">
        <v>835</v>
      </c>
      <c r="C16" s="329">
        <v>1078</v>
      </c>
      <c r="D16" s="329">
        <v>65778</v>
      </c>
      <c r="E16" s="329">
        <v>285</v>
      </c>
      <c r="F16" s="329">
        <v>8087</v>
      </c>
      <c r="G16" s="329">
        <v>417</v>
      </c>
      <c r="H16" s="329">
        <v>20510</v>
      </c>
      <c r="I16" s="329">
        <v>1078</v>
      </c>
      <c r="J16" s="329">
        <v>86288</v>
      </c>
      <c r="K16" s="329">
        <v>0</v>
      </c>
      <c r="L16" s="329">
        <v>0</v>
      </c>
    </row>
    <row r="17" spans="1:12" ht="12.75">
      <c r="A17" s="500">
        <v>6</v>
      </c>
      <c r="B17" s="501" t="s">
        <v>836</v>
      </c>
      <c r="C17" s="329">
        <v>1954</v>
      </c>
      <c r="D17" s="329">
        <v>177951</v>
      </c>
      <c r="E17" s="329">
        <v>1345</v>
      </c>
      <c r="F17" s="329">
        <v>94795</v>
      </c>
      <c r="G17" s="329">
        <v>1316</v>
      </c>
      <c r="H17" s="329">
        <v>100061</v>
      </c>
      <c r="I17" s="329">
        <v>1452</v>
      </c>
      <c r="J17" s="329">
        <v>120293</v>
      </c>
      <c r="K17" s="329">
        <v>55</v>
      </c>
      <c r="L17" s="329">
        <v>60</v>
      </c>
    </row>
    <row r="18" spans="1:12" ht="12.75">
      <c r="A18" s="500">
        <v>7</v>
      </c>
      <c r="B18" s="501" t="s">
        <v>837</v>
      </c>
      <c r="C18" s="329">
        <v>1660</v>
      </c>
      <c r="D18" s="329">
        <v>117391</v>
      </c>
      <c r="E18" s="329">
        <v>1660</v>
      </c>
      <c r="F18" s="329">
        <v>117391</v>
      </c>
      <c r="G18" s="329">
        <v>612</v>
      </c>
      <c r="H18" s="329">
        <v>43472</v>
      </c>
      <c r="I18" s="329">
        <v>1660</v>
      </c>
      <c r="J18" s="329">
        <v>57172</v>
      </c>
      <c r="K18" s="329">
        <v>0</v>
      </c>
      <c r="L18" s="329">
        <v>0</v>
      </c>
    </row>
    <row r="19" spans="1:12" ht="12.75">
      <c r="A19" s="500">
        <v>8</v>
      </c>
      <c r="B19" s="501" t="s">
        <v>838</v>
      </c>
      <c r="C19" s="329">
        <v>2252</v>
      </c>
      <c r="D19" s="329">
        <v>268415</v>
      </c>
      <c r="E19" s="329">
        <v>2252</v>
      </c>
      <c r="F19" s="329">
        <v>268415</v>
      </c>
      <c r="G19" s="329">
        <v>705</v>
      </c>
      <c r="H19" s="329">
        <v>53978</v>
      </c>
      <c r="I19" s="329">
        <v>2252</v>
      </c>
      <c r="J19" s="329">
        <v>268415</v>
      </c>
      <c r="K19" s="329">
        <v>0</v>
      </c>
      <c r="L19" s="329">
        <v>0</v>
      </c>
    </row>
    <row r="20" spans="1:12" ht="12.75">
      <c r="A20" s="500">
        <v>9</v>
      </c>
      <c r="B20" s="501" t="s">
        <v>839</v>
      </c>
      <c r="C20" s="329">
        <v>2574</v>
      </c>
      <c r="D20" s="329">
        <v>408368</v>
      </c>
      <c r="E20" s="329">
        <v>1081</v>
      </c>
      <c r="F20" s="329">
        <v>171515</v>
      </c>
      <c r="G20" s="329">
        <v>1210</v>
      </c>
      <c r="H20" s="329">
        <v>212351</v>
      </c>
      <c r="I20" s="329">
        <v>206</v>
      </c>
      <c r="J20" s="329">
        <v>16335</v>
      </c>
      <c r="K20" s="329">
        <v>77</v>
      </c>
      <c r="L20" s="329">
        <v>8167</v>
      </c>
    </row>
    <row r="21" spans="1:12" ht="12.75">
      <c r="A21" s="500">
        <v>10</v>
      </c>
      <c r="B21" s="501" t="s">
        <v>840</v>
      </c>
      <c r="C21" s="329">
        <v>1175</v>
      </c>
      <c r="D21" s="329">
        <v>141745</v>
      </c>
      <c r="E21" s="329">
        <v>427</v>
      </c>
      <c r="F21" s="329">
        <v>41306</v>
      </c>
      <c r="G21" s="329">
        <v>537</v>
      </c>
      <c r="H21" s="329">
        <v>45506</v>
      </c>
      <c r="I21" s="329">
        <v>1175</v>
      </c>
      <c r="J21" s="329">
        <v>141745</v>
      </c>
      <c r="K21" s="329">
        <v>0</v>
      </c>
      <c r="L21" s="329">
        <v>0</v>
      </c>
    </row>
    <row r="22" spans="1:12" ht="12.75">
      <c r="A22" s="500">
        <v>11</v>
      </c>
      <c r="B22" s="501" t="s">
        <v>841</v>
      </c>
      <c r="C22" s="329">
        <v>1533</v>
      </c>
      <c r="D22" s="329">
        <v>240720</v>
      </c>
      <c r="E22" s="329">
        <v>690</v>
      </c>
      <c r="F22" s="329">
        <v>74625</v>
      </c>
      <c r="G22" s="329">
        <v>468</v>
      </c>
      <c r="H22" s="329">
        <v>21642</v>
      </c>
      <c r="I22" s="329">
        <v>0</v>
      </c>
      <c r="J22" s="329">
        <v>0</v>
      </c>
      <c r="K22" s="329">
        <v>0</v>
      </c>
      <c r="L22" s="329">
        <v>0</v>
      </c>
    </row>
    <row r="23" spans="1:12" ht="12.75">
      <c r="A23" s="500">
        <v>12</v>
      </c>
      <c r="B23" s="501" t="s">
        <v>842</v>
      </c>
      <c r="C23" s="329">
        <v>1225</v>
      </c>
      <c r="D23" s="329">
        <v>182739</v>
      </c>
      <c r="E23" s="329">
        <v>965</v>
      </c>
      <c r="F23" s="329">
        <v>93228</v>
      </c>
      <c r="G23" s="329">
        <v>862</v>
      </c>
      <c r="H23" s="329">
        <v>87315</v>
      </c>
      <c r="I23" s="329">
        <v>1364</v>
      </c>
      <c r="J23" s="329">
        <v>168462</v>
      </c>
      <c r="K23" s="329">
        <v>1051</v>
      </c>
      <c r="L23" s="329">
        <v>7558</v>
      </c>
    </row>
    <row r="24" spans="1:12" ht="12.75">
      <c r="A24" s="500">
        <v>13</v>
      </c>
      <c r="B24" s="501" t="s">
        <v>843</v>
      </c>
      <c r="C24" s="329">
        <v>700</v>
      </c>
      <c r="D24" s="329">
        <v>87674</v>
      </c>
      <c r="E24" s="329">
        <v>206</v>
      </c>
      <c r="F24" s="329">
        <v>25295</v>
      </c>
      <c r="G24" s="329">
        <v>257</v>
      </c>
      <c r="H24" s="329">
        <v>26499</v>
      </c>
      <c r="I24" s="329">
        <v>700</v>
      </c>
      <c r="J24" s="329">
        <v>78166</v>
      </c>
      <c r="K24" s="329">
        <v>0</v>
      </c>
      <c r="L24" s="329">
        <v>0</v>
      </c>
    </row>
    <row r="25" spans="1:12" ht="12.75">
      <c r="A25" s="500">
        <v>14</v>
      </c>
      <c r="B25" s="501" t="s">
        <v>844</v>
      </c>
      <c r="C25" s="329">
        <v>726</v>
      </c>
      <c r="D25" s="329">
        <v>102655</v>
      </c>
      <c r="E25" s="329">
        <v>342</v>
      </c>
      <c r="F25" s="329">
        <v>49465</v>
      </c>
      <c r="G25" s="329">
        <v>317</v>
      </c>
      <c r="H25" s="329">
        <v>33156</v>
      </c>
      <c r="I25" s="329">
        <v>723</v>
      </c>
      <c r="J25" s="329">
        <v>102655</v>
      </c>
      <c r="K25" s="329">
        <v>0</v>
      </c>
      <c r="L25" s="329">
        <v>0</v>
      </c>
    </row>
    <row r="26" spans="1:12" ht="12.75">
      <c r="A26" s="500">
        <v>15</v>
      </c>
      <c r="B26" s="501" t="s">
        <v>845</v>
      </c>
      <c r="C26" s="502">
        <v>1509</v>
      </c>
      <c r="D26" s="502">
        <v>96095</v>
      </c>
      <c r="E26" s="502">
        <v>1509</v>
      </c>
      <c r="F26" s="502">
        <v>96095</v>
      </c>
      <c r="G26" s="502">
        <v>795</v>
      </c>
      <c r="H26" s="502">
        <v>45223.5</v>
      </c>
      <c r="I26" s="502">
        <v>1509</v>
      </c>
      <c r="J26" s="502">
        <v>96095</v>
      </c>
      <c r="K26" s="502">
        <v>1509</v>
      </c>
      <c r="L26" s="329">
        <v>0</v>
      </c>
    </row>
    <row r="27" spans="1:12" ht="12.75">
      <c r="A27" s="500">
        <v>16</v>
      </c>
      <c r="B27" s="501" t="s">
        <v>846</v>
      </c>
      <c r="C27" s="329">
        <v>3032</v>
      </c>
      <c r="D27" s="329">
        <v>344829</v>
      </c>
      <c r="E27" s="329">
        <v>1329</v>
      </c>
      <c r="F27" s="329">
        <v>98343</v>
      </c>
      <c r="G27" s="329">
        <v>1251</v>
      </c>
      <c r="H27" s="329">
        <v>103603</v>
      </c>
      <c r="I27" s="329">
        <v>2622</v>
      </c>
      <c r="J27" s="329">
        <v>314080</v>
      </c>
      <c r="K27" s="329">
        <v>430</v>
      </c>
      <c r="L27" s="329">
        <v>351</v>
      </c>
    </row>
    <row r="28" spans="1:12" ht="12.75">
      <c r="A28" s="500">
        <v>17</v>
      </c>
      <c r="B28" s="501" t="s">
        <v>847</v>
      </c>
      <c r="C28" s="329">
        <v>670</v>
      </c>
      <c r="D28" s="329">
        <v>51690</v>
      </c>
      <c r="E28" s="329">
        <v>502</v>
      </c>
      <c r="F28" s="329">
        <v>23177</v>
      </c>
      <c r="G28" s="329">
        <v>541</v>
      </c>
      <c r="H28" s="329">
        <v>53832</v>
      </c>
      <c r="I28" s="329">
        <v>474</v>
      </c>
      <c r="J28" s="329">
        <v>52880</v>
      </c>
      <c r="K28" s="329">
        <v>0</v>
      </c>
      <c r="L28" s="329">
        <v>0</v>
      </c>
    </row>
    <row r="29" spans="1:12" ht="12.75">
      <c r="A29" s="500">
        <v>18</v>
      </c>
      <c r="B29" s="501" t="s">
        <v>848</v>
      </c>
      <c r="C29" s="329">
        <v>1698</v>
      </c>
      <c r="D29" s="329">
        <v>171835</v>
      </c>
      <c r="E29" s="329">
        <v>1023</v>
      </c>
      <c r="F29" s="329">
        <v>99843</v>
      </c>
      <c r="G29" s="329">
        <v>897</v>
      </c>
      <c r="H29" s="329">
        <v>84284</v>
      </c>
      <c r="I29" s="329">
        <v>1472</v>
      </c>
      <c r="J29" s="329">
        <v>153067</v>
      </c>
      <c r="K29" s="329">
        <v>0</v>
      </c>
      <c r="L29" s="329">
        <v>0</v>
      </c>
    </row>
    <row r="30" spans="1:12" ht="12.75">
      <c r="A30" s="500">
        <v>19</v>
      </c>
      <c r="B30" s="501" t="s">
        <v>849</v>
      </c>
      <c r="C30" s="329">
        <v>384</v>
      </c>
      <c r="D30" s="329">
        <v>165971</v>
      </c>
      <c r="E30" s="329">
        <v>323</v>
      </c>
      <c r="F30" s="329">
        <v>165956</v>
      </c>
      <c r="G30" s="329">
        <v>345</v>
      </c>
      <c r="H30" s="329">
        <v>30418</v>
      </c>
      <c r="I30" s="329">
        <v>314</v>
      </c>
      <c r="J30" s="329">
        <v>115956</v>
      </c>
      <c r="K30" s="329">
        <v>324</v>
      </c>
      <c r="L30" s="329">
        <v>630</v>
      </c>
    </row>
    <row r="31" spans="1:12" ht="12.75">
      <c r="A31" s="500">
        <v>20</v>
      </c>
      <c r="B31" s="501" t="s">
        <v>850</v>
      </c>
      <c r="C31" s="329">
        <v>492</v>
      </c>
      <c r="D31" s="329">
        <v>27297</v>
      </c>
      <c r="E31" s="329">
        <v>492</v>
      </c>
      <c r="F31" s="329">
        <v>27297</v>
      </c>
      <c r="G31" s="329">
        <v>1166</v>
      </c>
      <c r="H31" s="329">
        <v>71533</v>
      </c>
      <c r="I31" s="329">
        <v>1166</v>
      </c>
      <c r="J31" s="329">
        <v>148009</v>
      </c>
      <c r="K31" s="329">
        <v>492</v>
      </c>
      <c r="L31" s="329">
        <v>217</v>
      </c>
    </row>
    <row r="32" spans="1:12" ht="12.75">
      <c r="A32" s="500">
        <v>21</v>
      </c>
      <c r="B32" s="501" t="s">
        <v>851</v>
      </c>
      <c r="C32" s="329">
        <v>1438</v>
      </c>
      <c r="D32" s="329">
        <v>200496</v>
      </c>
      <c r="E32" s="329">
        <v>355</v>
      </c>
      <c r="F32" s="329">
        <v>31047</v>
      </c>
      <c r="G32" s="329">
        <v>1438</v>
      </c>
      <c r="H32" s="329">
        <v>51314</v>
      </c>
      <c r="I32" s="329">
        <v>1438</v>
      </c>
      <c r="J32" s="329">
        <v>200496</v>
      </c>
      <c r="K32" s="329">
        <v>1438</v>
      </c>
      <c r="L32" s="329">
        <v>0</v>
      </c>
    </row>
    <row r="33" spans="1:12" ht="12.75">
      <c r="A33" s="500">
        <v>22</v>
      </c>
      <c r="B33" s="501" t="s">
        <v>852</v>
      </c>
      <c r="C33" s="329">
        <v>1061</v>
      </c>
      <c r="D33" s="329">
        <v>144086</v>
      </c>
      <c r="E33" s="329">
        <v>693</v>
      </c>
      <c r="F33" s="329">
        <v>93656</v>
      </c>
      <c r="G33" s="329">
        <v>426</v>
      </c>
      <c r="H33" s="329">
        <v>57633</v>
      </c>
      <c r="I33" s="329">
        <v>317</v>
      </c>
      <c r="J33" s="329">
        <v>43225</v>
      </c>
      <c r="K33" s="329">
        <v>106</v>
      </c>
      <c r="L33" s="329">
        <v>14408</v>
      </c>
    </row>
    <row r="34" spans="1:12" ht="12.75">
      <c r="A34" s="500">
        <v>23</v>
      </c>
      <c r="B34" s="501" t="s">
        <v>853</v>
      </c>
      <c r="C34" s="329">
        <v>1724</v>
      </c>
      <c r="D34" s="329">
        <v>221638</v>
      </c>
      <c r="E34" s="329">
        <v>1724</v>
      </c>
      <c r="F34" s="329">
        <v>52128</v>
      </c>
      <c r="G34" s="329">
        <v>1724</v>
      </c>
      <c r="H34" s="329">
        <v>66697</v>
      </c>
      <c r="I34" s="329">
        <v>0</v>
      </c>
      <c r="J34" s="329">
        <v>0</v>
      </c>
      <c r="K34" s="329">
        <v>0</v>
      </c>
      <c r="L34" s="329">
        <v>0</v>
      </c>
    </row>
    <row r="35" spans="1:12" ht="12.75">
      <c r="A35" s="500">
        <v>24</v>
      </c>
      <c r="B35" s="501" t="s">
        <v>854</v>
      </c>
      <c r="C35" s="329">
        <v>434</v>
      </c>
      <c r="D35" s="329">
        <v>150882</v>
      </c>
      <c r="E35" s="329">
        <v>334</v>
      </c>
      <c r="F35" s="329">
        <v>150882</v>
      </c>
      <c r="G35" s="329">
        <v>304</v>
      </c>
      <c r="H35" s="329">
        <v>27659</v>
      </c>
      <c r="I35" s="329">
        <v>284</v>
      </c>
      <c r="J35" s="329">
        <v>118448</v>
      </c>
      <c r="K35" s="329">
        <v>254</v>
      </c>
      <c r="L35" s="329">
        <v>530</v>
      </c>
    </row>
    <row r="36" spans="1:12" ht="12.75">
      <c r="A36" s="868" t="s">
        <v>13</v>
      </c>
      <c r="B36" s="868"/>
      <c r="C36" s="329">
        <f aca="true" t="shared" si="0" ref="C36:L36">SUM(C12:C35)</f>
        <v>33118</v>
      </c>
      <c r="D36" s="329">
        <f t="shared" si="0"/>
        <v>3826058</v>
      </c>
      <c r="E36" s="329">
        <f t="shared" si="0"/>
        <v>20873</v>
      </c>
      <c r="F36" s="329">
        <f t="shared" si="0"/>
        <v>1976948</v>
      </c>
      <c r="G36" s="329">
        <f t="shared" si="0"/>
        <v>19083</v>
      </c>
      <c r="H36" s="329">
        <f t="shared" si="0"/>
        <v>1395168.5</v>
      </c>
      <c r="I36" s="329">
        <f t="shared" si="0"/>
        <v>25482</v>
      </c>
      <c r="J36" s="329">
        <f t="shared" si="0"/>
        <v>2552435</v>
      </c>
      <c r="K36" s="329">
        <f t="shared" si="0"/>
        <v>6322</v>
      </c>
      <c r="L36" s="329">
        <f t="shared" si="0"/>
        <v>31921</v>
      </c>
    </row>
    <row r="37" spans="1:12" ht="12.75">
      <c r="A37" s="492"/>
      <c r="B37" s="492"/>
      <c r="C37" s="121"/>
      <c r="D37" s="121"/>
      <c r="E37" s="121"/>
      <c r="F37" s="121"/>
      <c r="G37" s="121"/>
      <c r="H37" s="121"/>
      <c r="I37" s="121"/>
      <c r="J37" s="121"/>
      <c r="K37" s="121"/>
      <c r="L37" s="121"/>
    </row>
    <row r="38" spans="1:12" ht="12.75">
      <c r="A38" s="121"/>
      <c r="B38" s="121"/>
      <c r="C38" s="121"/>
      <c r="E38" s="121"/>
      <c r="F38" s="121"/>
      <c r="G38" s="121"/>
      <c r="H38" s="121"/>
      <c r="I38" s="121"/>
      <c r="J38" s="121"/>
      <c r="K38" s="121"/>
      <c r="L38" s="121"/>
    </row>
    <row r="39" spans="1:12" ht="12.75">
      <c r="A39" s="121"/>
      <c r="B39" s="121"/>
      <c r="C39" s="121"/>
      <c r="E39" s="121"/>
      <c r="F39" s="121"/>
      <c r="G39" s="121"/>
      <c r="H39" s="121"/>
      <c r="I39" s="121"/>
      <c r="J39" s="121"/>
      <c r="K39" s="121"/>
      <c r="L39" s="121"/>
    </row>
    <row r="41" spans="1:12" ht="12.75">
      <c r="A41" s="354"/>
      <c r="B41" s="354"/>
      <c r="C41" s="354"/>
      <c r="D41" s="354"/>
      <c r="E41" s="354"/>
      <c r="F41" s="354"/>
      <c r="G41" s="354"/>
      <c r="H41" s="354"/>
      <c r="I41" s="354"/>
      <c r="J41" s="354"/>
      <c r="K41" s="354"/>
      <c r="L41" s="354"/>
    </row>
    <row r="42" spans="1:12" ht="12.75">
      <c r="A42" s="121"/>
      <c r="B42" s="121"/>
      <c r="C42" s="121"/>
      <c r="D42" s="121"/>
      <c r="E42" s="121"/>
      <c r="F42" s="121"/>
      <c r="G42" s="121"/>
      <c r="H42" s="121"/>
      <c r="I42" s="121"/>
      <c r="J42" s="121"/>
      <c r="K42" s="121"/>
      <c r="L42" s="121"/>
    </row>
    <row r="43" spans="1:12" ht="12.75" customHeight="1">
      <c r="A43" s="559" t="s">
        <v>989</v>
      </c>
      <c r="B43" s="559"/>
      <c r="C43" s="559"/>
      <c r="F43" s="559" t="s">
        <v>990</v>
      </c>
      <c r="G43" s="559"/>
      <c r="J43" s="559" t="s">
        <v>996</v>
      </c>
      <c r="K43" s="559"/>
      <c r="L43" s="559"/>
    </row>
    <row r="44" spans="1:12" ht="12.75">
      <c r="A44" s="559" t="s">
        <v>991</v>
      </c>
      <c r="B44" s="559"/>
      <c r="C44" s="559"/>
      <c r="F44" s="559" t="s">
        <v>992</v>
      </c>
      <c r="G44" s="559"/>
      <c r="J44" s="559" t="s">
        <v>993</v>
      </c>
      <c r="K44" s="559"/>
      <c r="L44" s="559"/>
    </row>
    <row r="45" spans="1:12" ht="12.75">
      <c r="A45" s="559" t="s">
        <v>994</v>
      </c>
      <c r="B45" s="559"/>
      <c r="C45" s="559"/>
      <c r="F45" s="559" t="s">
        <v>995</v>
      </c>
      <c r="G45" s="559"/>
      <c r="J45" s="559" t="s">
        <v>995</v>
      </c>
      <c r="K45" s="559"/>
      <c r="L45" s="559"/>
    </row>
    <row r="48" ht="12.75">
      <c r="D48" s="121">
        <f>'enrolment vs availed_PY'!G35+'enrolment vs availed_UPY'!G35</f>
        <v>4673807</v>
      </c>
    </row>
    <row r="49" ht="12.75">
      <c r="D49" s="121">
        <f>D36/D48*100</f>
        <v>81.86170289017069</v>
      </c>
    </row>
  </sheetData>
  <sheetProtection/>
  <mergeCells count="23">
    <mergeCell ref="F44:G44"/>
    <mergeCell ref="A36:B36"/>
    <mergeCell ref="A2:L2"/>
    <mergeCell ref="B9:B10"/>
    <mergeCell ref="A9:A10"/>
    <mergeCell ref="J44:L44"/>
    <mergeCell ref="A45:C45"/>
    <mergeCell ref="F45:G45"/>
    <mergeCell ref="C9:C10"/>
    <mergeCell ref="A7:B7"/>
    <mergeCell ref="A5:L5"/>
    <mergeCell ref="J45:L45"/>
    <mergeCell ref="A43:C43"/>
    <mergeCell ref="F43:G43"/>
    <mergeCell ref="J43:L43"/>
    <mergeCell ref="A44:C44"/>
    <mergeCell ref="K1:L1"/>
    <mergeCell ref="G9:H9"/>
    <mergeCell ref="D9:D10"/>
    <mergeCell ref="E9:F9"/>
    <mergeCell ref="I9:J9"/>
    <mergeCell ref="K9:L9"/>
    <mergeCell ref="A3:L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tabColor rgb="FF92D050"/>
    <pageSetUpPr fitToPage="1"/>
  </sheetPr>
  <dimension ref="A1:G42"/>
  <sheetViews>
    <sheetView view="pageBreakPreview" zoomScale="70" zoomScaleSheetLayoutView="70" zoomScalePageLayoutView="0" workbookViewId="0" topLeftCell="A1">
      <selection activeCell="S59" sqref="S59"/>
    </sheetView>
  </sheetViews>
  <sheetFormatPr defaultColWidth="8.8515625" defaultRowHeight="12.75"/>
  <cols>
    <col min="1" max="1" width="8.8515625" style="121" customWidth="1"/>
    <col min="2" max="2" width="17.421875" style="121" customWidth="1"/>
    <col min="3" max="3" width="20.57421875" style="121" customWidth="1"/>
    <col min="4" max="4" width="22.28125" style="121" customWidth="1"/>
    <col min="5" max="5" width="26.57421875" style="121" customWidth="1"/>
    <col min="6" max="6" width="29.00390625" style="121" customWidth="1"/>
    <col min="7" max="16384" width="8.8515625" style="121" customWidth="1"/>
  </cols>
  <sheetData>
    <row r="1" spans="4:6" ht="12.75" customHeight="1">
      <c r="D1" s="181"/>
      <c r="E1" s="181"/>
      <c r="F1" s="182" t="s">
        <v>92</v>
      </c>
    </row>
    <row r="2" spans="1:6" ht="15" customHeight="1">
      <c r="A2" s="656" t="s">
        <v>0</v>
      </c>
      <c r="B2" s="656"/>
      <c r="C2" s="656"/>
      <c r="D2" s="656"/>
      <c r="E2" s="656"/>
      <c r="F2" s="656"/>
    </row>
    <row r="3" spans="1:6" ht="20.25">
      <c r="A3" s="657" t="s">
        <v>645</v>
      </c>
      <c r="B3" s="657"/>
      <c r="C3" s="657"/>
      <c r="D3" s="657"/>
      <c r="E3" s="657"/>
      <c r="F3" s="657"/>
    </row>
    <row r="5" spans="1:6" ht="12.75">
      <c r="A5" s="873" t="s">
        <v>449</v>
      </c>
      <c r="B5" s="873"/>
      <c r="C5" s="873"/>
      <c r="D5" s="873"/>
      <c r="E5" s="873"/>
      <c r="F5" s="873"/>
    </row>
    <row r="6" spans="1:6" ht="15.75">
      <c r="A6" s="70"/>
      <c r="B6" s="70"/>
      <c r="C6" s="70"/>
      <c r="D6" s="70"/>
      <c r="E6" s="70"/>
      <c r="F6" s="70"/>
    </row>
    <row r="7" spans="1:6" ht="15">
      <c r="A7" s="593" t="s">
        <v>157</v>
      </c>
      <c r="B7" s="593"/>
      <c r="F7" s="347" t="s">
        <v>959</v>
      </c>
    </row>
    <row r="8" spans="1:6" ht="30" customHeight="1">
      <c r="A8" s="869" t="s">
        <v>1</v>
      </c>
      <c r="B8" s="869" t="s">
        <v>2</v>
      </c>
      <c r="C8" s="874" t="s">
        <v>445</v>
      </c>
      <c r="D8" s="875"/>
      <c r="E8" s="874" t="s">
        <v>448</v>
      </c>
      <c r="F8" s="875"/>
    </row>
    <row r="9" spans="1:7" s="77" customFormat="1" ht="25.5">
      <c r="A9" s="869"/>
      <c r="B9" s="869"/>
      <c r="C9" s="72" t="s">
        <v>446</v>
      </c>
      <c r="D9" s="72" t="s">
        <v>447</v>
      </c>
      <c r="E9" s="72" t="s">
        <v>446</v>
      </c>
      <c r="F9" s="72" t="s">
        <v>447</v>
      </c>
      <c r="G9" s="91"/>
    </row>
    <row r="10" spans="1:6" ht="12.75">
      <c r="A10" s="120">
        <v>1</v>
      </c>
      <c r="B10" s="120">
        <v>2</v>
      </c>
      <c r="C10" s="120">
        <v>3</v>
      </c>
      <c r="D10" s="120">
        <v>4</v>
      </c>
      <c r="E10" s="120">
        <v>5</v>
      </c>
      <c r="F10" s="120">
        <v>6</v>
      </c>
    </row>
    <row r="11" spans="1:6" ht="12.75">
      <c r="A11" s="203">
        <v>1</v>
      </c>
      <c r="B11" s="224" t="s">
        <v>831</v>
      </c>
      <c r="C11" s="201">
        <f>'AT3A_cvrg(Insti)_PY'!L11</f>
        <v>1575</v>
      </c>
      <c r="D11" s="201">
        <f>C11</f>
        <v>1575</v>
      </c>
      <c r="E11" s="201">
        <f>'AT3B_cvrg(Insti)_UPY '!L11+'AT3C_cvrg(Insti)_UPY '!L11</f>
        <v>902</v>
      </c>
      <c r="F11" s="201">
        <f>E11</f>
        <v>902</v>
      </c>
    </row>
    <row r="12" spans="1:6" ht="12.75">
      <c r="A12" s="203">
        <v>2</v>
      </c>
      <c r="B12" s="224" t="s">
        <v>832</v>
      </c>
      <c r="C12" s="201">
        <f>'AT3A_cvrg(Insti)_PY'!L12</f>
        <v>659</v>
      </c>
      <c r="D12" s="201">
        <f aca="true" t="shared" si="0" ref="D12:D34">C12</f>
        <v>659</v>
      </c>
      <c r="E12" s="201">
        <f>'AT3B_cvrg(Insti)_UPY '!L12+'AT3C_cvrg(Insti)_UPY '!L12</f>
        <v>337</v>
      </c>
      <c r="F12" s="201">
        <f aca="true" t="shared" si="1" ref="F12:F34">E12</f>
        <v>337</v>
      </c>
    </row>
    <row r="13" spans="1:6" ht="12.75">
      <c r="A13" s="203">
        <v>3</v>
      </c>
      <c r="B13" s="224" t="s">
        <v>833</v>
      </c>
      <c r="C13" s="201">
        <f>'AT3A_cvrg(Insti)_PY'!L13</f>
        <v>362</v>
      </c>
      <c r="D13" s="201">
        <f t="shared" si="0"/>
        <v>362</v>
      </c>
      <c r="E13" s="201">
        <f>'AT3B_cvrg(Insti)_UPY '!L13+'AT3C_cvrg(Insti)_UPY '!L13</f>
        <v>218</v>
      </c>
      <c r="F13" s="201">
        <f t="shared" si="1"/>
        <v>218</v>
      </c>
    </row>
    <row r="14" spans="1:6" ht="12.75">
      <c r="A14" s="203">
        <v>4</v>
      </c>
      <c r="B14" s="224" t="s">
        <v>834</v>
      </c>
      <c r="C14" s="201">
        <f>'AT3A_cvrg(Insti)_PY'!L14</f>
        <v>1090</v>
      </c>
      <c r="D14" s="201">
        <f t="shared" si="0"/>
        <v>1090</v>
      </c>
      <c r="E14" s="201">
        <f>'AT3B_cvrg(Insti)_UPY '!L14+'AT3C_cvrg(Insti)_UPY '!L14</f>
        <v>641</v>
      </c>
      <c r="F14" s="201">
        <f t="shared" si="1"/>
        <v>641</v>
      </c>
    </row>
    <row r="15" spans="1:6" ht="12.75">
      <c r="A15" s="203">
        <v>5</v>
      </c>
      <c r="B15" s="224" t="s">
        <v>835</v>
      </c>
      <c r="C15" s="201">
        <f>'AT3A_cvrg(Insti)_PY'!L15</f>
        <v>661</v>
      </c>
      <c r="D15" s="201">
        <f t="shared" si="0"/>
        <v>661</v>
      </c>
      <c r="E15" s="201">
        <f>'AT3B_cvrg(Insti)_UPY '!L15+'AT3C_cvrg(Insti)_UPY '!L15</f>
        <v>417</v>
      </c>
      <c r="F15" s="201">
        <f t="shared" si="1"/>
        <v>417</v>
      </c>
    </row>
    <row r="16" spans="1:6" ht="12.75">
      <c r="A16" s="203">
        <v>6</v>
      </c>
      <c r="B16" s="224" t="s">
        <v>836</v>
      </c>
      <c r="C16" s="201">
        <f>'AT3A_cvrg(Insti)_PY'!L16</f>
        <v>1271</v>
      </c>
      <c r="D16" s="201">
        <f t="shared" si="0"/>
        <v>1271</v>
      </c>
      <c r="E16" s="201">
        <f>'AT3B_cvrg(Insti)_UPY '!L16+'AT3C_cvrg(Insti)_UPY '!L16</f>
        <v>683</v>
      </c>
      <c r="F16" s="201">
        <f t="shared" si="1"/>
        <v>683</v>
      </c>
    </row>
    <row r="17" spans="1:6" ht="12.75">
      <c r="A17" s="203">
        <v>7</v>
      </c>
      <c r="B17" s="224" t="s">
        <v>837</v>
      </c>
      <c r="C17" s="201">
        <f>'AT3A_cvrg(Insti)_PY'!L17</f>
        <v>1048</v>
      </c>
      <c r="D17" s="201">
        <f t="shared" si="0"/>
        <v>1048</v>
      </c>
      <c r="E17" s="201">
        <f>'AT3B_cvrg(Insti)_UPY '!L17+'AT3C_cvrg(Insti)_UPY '!L17</f>
        <v>612</v>
      </c>
      <c r="F17" s="201">
        <f t="shared" si="1"/>
        <v>612</v>
      </c>
    </row>
    <row r="18" spans="1:6" ht="12.75">
      <c r="A18" s="203">
        <v>8</v>
      </c>
      <c r="B18" s="224" t="s">
        <v>838</v>
      </c>
      <c r="C18" s="201">
        <f>'AT3A_cvrg(Insti)_PY'!L18</f>
        <v>1547</v>
      </c>
      <c r="D18" s="201">
        <f t="shared" si="0"/>
        <v>1547</v>
      </c>
      <c r="E18" s="201">
        <f>'AT3B_cvrg(Insti)_UPY '!L18+'AT3C_cvrg(Insti)_UPY '!L18</f>
        <v>705</v>
      </c>
      <c r="F18" s="201">
        <f t="shared" si="1"/>
        <v>705</v>
      </c>
    </row>
    <row r="19" spans="1:6" ht="12.75">
      <c r="A19" s="203">
        <v>9</v>
      </c>
      <c r="B19" s="224" t="s">
        <v>839</v>
      </c>
      <c r="C19" s="201">
        <f>'AT3A_cvrg(Insti)_PY'!L19</f>
        <v>1275</v>
      </c>
      <c r="D19" s="201">
        <f t="shared" si="0"/>
        <v>1275</v>
      </c>
      <c r="E19" s="201">
        <f>'AT3B_cvrg(Insti)_UPY '!L19+'AT3C_cvrg(Insti)_UPY '!L19</f>
        <v>1299</v>
      </c>
      <c r="F19" s="201">
        <f t="shared" si="1"/>
        <v>1299</v>
      </c>
    </row>
    <row r="20" spans="1:6" ht="12.75">
      <c r="A20" s="203">
        <v>10</v>
      </c>
      <c r="B20" s="224" t="s">
        <v>840</v>
      </c>
      <c r="C20" s="201">
        <f>'AT3A_cvrg(Insti)_PY'!L20</f>
        <v>743</v>
      </c>
      <c r="D20" s="201">
        <f t="shared" si="0"/>
        <v>743</v>
      </c>
      <c r="E20" s="201">
        <f>'AT3B_cvrg(Insti)_UPY '!L20+'AT3C_cvrg(Insti)_UPY '!L20</f>
        <v>432</v>
      </c>
      <c r="F20" s="201">
        <f t="shared" si="1"/>
        <v>432</v>
      </c>
    </row>
    <row r="21" spans="1:6" ht="12.75">
      <c r="A21" s="203">
        <v>11</v>
      </c>
      <c r="B21" s="224" t="s">
        <v>841</v>
      </c>
      <c r="C21" s="201">
        <f>'AT3A_cvrg(Insti)_PY'!L21</f>
        <v>1025</v>
      </c>
      <c r="D21" s="201">
        <f t="shared" si="0"/>
        <v>1025</v>
      </c>
      <c r="E21" s="201">
        <f>'AT3B_cvrg(Insti)_UPY '!L21+'AT3C_cvrg(Insti)_UPY '!L21</f>
        <v>508</v>
      </c>
      <c r="F21" s="201">
        <f t="shared" si="1"/>
        <v>508</v>
      </c>
    </row>
    <row r="22" spans="1:6" ht="12.75">
      <c r="A22" s="203">
        <v>12</v>
      </c>
      <c r="B22" s="224" t="s">
        <v>842</v>
      </c>
      <c r="C22" s="201">
        <f>'AT3A_cvrg(Insti)_PY'!L22</f>
        <v>1007</v>
      </c>
      <c r="D22" s="201">
        <f t="shared" si="0"/>
        <v>1007</v>
      </c>
      <c r="E22" s="201">
        <f>'AT3B_cvrg(Insti)_UPY '!L22+'AT3C_cvrg(Insti)_UPY '!L22</f>
        <v>590</v>
      </c>
      <c r="F22" s="201">
        <f t="shared" si="1"/>
        <v>590</v>
      </c>
    </row>
    <row r="23" spans="1:6" ht="12.75">
      <c r="A23" s="203">
        <v>13</v>
      </c>
      <c r="B23" s="224" t="s">
        <v>843</v>
      </c>
      <c r="C23" s="201">
        <f>'AT3A_cvrg(Insti)_PY'!L23</f>
        <v>443</v>
      </c>
      <c r="D23" s="201">
        <f t="shared" si="0"/>
        <v>443</v>
      </c>
      <c r="E23" s="201">
        <f>'AT3B_cvrg(Insti)_UPY '!L23+'AT3C_cvrg(Insti)_UPY '!L23</f>
        <v>257</v>
      </c>
      <c r="F23" s="201">
        <f t="shared" si="1"/>
        <v>257</v>
      </c>
    </row>
    <row r="24" spans="1:6" ht="12.75">
      <c r="A24" s="203">
        <v>14</v>
      </c>
      <c r="B24" s="224" t="s">
        <v>844</v>
      </c>
      <c r="C24" s="201">
        <f>'AT3A_cvrg(Insti)_PY'!L24</f>
        <v>406</v>
      </c>
      <c r="D24" s="201">
        <f t="shared" si="0"/>
        <v>406</v>
      </c>
      <c r="E24" s="201">
        <f>'AT3B_cvrg(Insti)_UPY '!L24+'AT3C_cvrg(Insti)_UPY '!L24</f>
        <v>317</v>
      </c>
      <c r="F24" s="201">
        <f t="shared" si="1"/>
        <v>317</v>
      </c>
    </row>
    <row r="25" spans="1:6" ht="12.75">
      <c r="A25" s="203">
        <v>15</v>
      </c>
      <c r="B25" s="224" t="s">
        <v>845</v>
      </c>
      <c r="C25" s="201">
        <f>'AT3A_cvrg(Insti)_PY'!L25</f>
        <v>1083</v>
      </c>
      <c r="D25" s="201">
        <f t="shared" si="0"/>
        <v>1083</v>
      </c>
      <c r="E25" s="201">
        <f>'AT3B_cvrg(Insti)_UPY '!L25+'AT3C_cvrg(Insti)_UPY '!L25</f>
        <v>711</v>
      </c>
      <c r="F25" s="201">
        <f t="shared" si="1"/>
        <v>711</v>
      </c>
    </row>
    <row r="26" spans="1:6" ht="12.75">
      <c r="A26" s="203">
        <v>16</v>
      </c>
      <c r="B26" s="224" t="s">
        <v>846</v>
      </c>
      <c r="C26" s="201">
        <f>'AT3A_cvrg(Insti)_PY'!L26</f>
        <v>2066</v>
      </c>
      <c r="D26" s="201">
        <f t="shared" si="0"/>
        <v>2066</v>
      </c>
      <c r="E26" s="201">
        <f>'AT3B_cvrg(Insti)_UPY '!L26+'AT3C_cvrg(Insti)_UPY '!L26</f>
        <v>1293</v>
      </c>
      <c r="F26" s="201">
        <f t="shared" si="1"/>
        <v>1293</v>
      </c>
    </row>
    <row r="27" spans="1:6" ht="12.75">
      <c r="A27" s="203">
        <v>17</v>
      </c>
      <c r="B27" s="224" t="s">
        <v>847</v>
      </c>
      <c r="C27" s="201">
        <f>'AT3A_cvrg(Insti)_PY'!L27</f>
        <v>1218</v>
      </c>
      <c r="D27" s="201">
        <f t="shared" si="0"/>
        <v>1218</v>
      </c>
      <c r="E27" s="201">
        <f>'AT3B_cvrg(Insti)_UPY '!L27+'AT3C_cvrg(Insti)_UPY '!L27</f>
        <v>614</v>
      </c>
      <c r="F27" s="201">
        <f t="shared" si="1"/>
        <v>614</v>
      </c>
    </row>
    <row r="28" spans="1:6" ht="12.75">
      <c r="A28" s="203">
        <v>18</v>
      </c>
      <c r="B28" s="224" t="s">
        <v>848</v>
      </c>
      <c r="C28" s="201">
        <f>'AT3A_cvrg(Insti)_PY'!L28</f>
        <v>1171</v>
      </c>
      <c r="D28" s="201">
        <f t="shared" si="0"/>
        <v>1171</v>
      </c>
      <c r="E28" s="201">
        <f>'AT3B_cvrg(Insti)_UPY '!L28+'AT3C_cvrg(Insti)_UPY '!L28</f>
        <v>559</v>
      </c>
      <c r="F28" s="201">
        <f t="shared" si="1"/>
        <v>559</v>
      </c>
    </row>
    <row r="29" spans="1:6" ht="12.75">
      <c r="A29" s="203">
        <v>19</v>
      </c>
      <c r="B29" s="224" t="s">
        <v>849</v>
      </c>
      <c r="C29" s="201">
        <f>'AT3A_cvrg(Insti)_PY'!L29</f>
        <v>1676</v>
      </c>
      <c r="D29" s="201">
        <f t="shared" si="0"/>
        <v>1676</v>
      </c>
      <c r="E29" s="201">
        <f>'AT3B_cvrg(Insti)_UPY '!L29+'AT3C_cvrg(Insti)_UPY '!L29</f>
        <v>821</v>
      </c>
      <c r="F29" s="201">
        <f t="shared" si="1"/>
        <v>821</v>
      </c>
    </row>
    <row r="30" spans="1:6" ht="12.75">
      <c r="A30" s="203">
        <v>20</v>
      </c>
      <c r="B30" s="224" t="s">
        <v>850</v>
      </c>
      <c r="C30" s="201">
        <f>'AT3A_cvrg(Insti)_PY'!L30</f>
        <v>718</v>
      </c>
      <c r="D30" s="201">
        <f t="shared" si="0"/>
        <v>718</v>
      </c>
      <c r="E30" s="201">
        <f>'AT3B_cvrg(Insti)_UPY '!L30+'AT3C_cvrg(Insti)_UPY '!L30</f>
        <v>448</v>
      </c>
      <c r="F30" s="201">
        <f t="shared" si="1"/>
        <v>448</v>
      </c>
    </row>
    <row r="31" spans="1:6" ht="12.75">
      <c r="A31" s="203">
        <v>21</v>
      </c>
      <c r="B31" s="224" t="s">
        <v>851</v>
      </c>
      <c r="C31" s="201">
        <f>'AT3A_cvrg(Insti)_PY'!L31</f>
        <v>896</v>
      </c>
      <c r="D31" s="201">
        <f t="shared" si="0"/>
        <v>896</v>
      </c>
      <c r="E31" s="201">
        <f>'AT3B_cvrg(Insti)_UPY '!L31+'AT3C_cvrg(Insti)_UPY '!L31</f>
        <v>538</v>
      </c>
      <c r="F31" s="201">
        <f t="shared" si="1"/>
        <v>538</v>
      </c>
    </row>
    <row r="32" spans="1:6" ht="12.75">
      <c r="A32" s="203">
        <v>22</v>
      </c>
      <c r="B32" s="224" t="s">
        <v>852</v>
      </c>
      <c r="C32" s="201">
        <f>'AT3A_cvrg(Insti)_PY'!L32</f>
        <v>674</v>
      </c>
      <c r="D32" s="201">
        <f t="shared" si="0"/>
        <v>674</v>
      </c>
      <c r="E32" s="201">
        <f>'AT3B_cvrg(Insti)_UPY '!L32+'AT3C_cvrg(Insti)_UPY '!L32</f>
        <v>387</v>
      </c>
      <c r="F32" s="201">
        <f t="shared" si="1"/>
        <v>387</v>
      </c>
    </row>
    <row r="33" spans="1:6" ht="12.75">
      <c r="A33" s="203">
        <v>23</v>
      </c>
      <c r="B33" s="224" t="s">
        <v>853</v>
      </c>
      <c r="C33" s="201">
        <f>'AT3A_cvrg(Insti)_PY'!L33</f>
        <v>1053</v>
      </c>
      <c r="D33" s="201">
        <f t="shared" si="0"/>
        <v>1053</v>
      </c>
      <c r="E33" s="201">
        <f>'AT3B_cvrg(Insti)_UPY '!L33+'AT3C_cvrg(Insti)_UPY '!L33</f>
        <v>674</v>
      </c>
      <c r="F33" s="201">
        <f t="shared" si="1"/>
        <v>674</v>
      </c>
    </row>
    <row r="34" spans="1:6" ht="12.75">
      <c r="A34" s="203">
        <v>24</v>
      </c>
      <c r="B34" s="224" t="s">
        <v>854</v>
      </c>
      <c r="C34" s="201">
        <f>'AT3A_cvrg(Insti)_PY'!L34</f>
        <v>1435</v>
      </c>
      <c r="D34" s="201">
        <f t="shared" si="0"/>
        <v>1435</v>
      </c>
      <c r="E34" s="201">
        <f>'AT3B_cvrg(Insti)_UPY '!L34+'AT3C_cvrg(Insti)_UPY '!L34</f>
        <v>657</v>
      </c>
      <c r="F34" s="201">
        <f t="shared" si="1"/>
        <v>657</v>
      </c>
    </row>
    <row r="35" spans="1:6" ht="12.75">
      <c r="A35" s="871" t="s">
        <v>13</v>
      </c>
      <c r="B35" s="872"/>
      <c r="C35" s="201">
        <f>SUM(C11:C34)</f>
        <v>25102</v>
      </c>
      <c r="D35" s="201">
        <f>SUM(D11:D34)</f>
        <v>25102</v>
      </c>
      <c r="E35" s="201">
        <f>SUM(E11:E34)</f>
        <v>14620</v>
      </c>
      <c r="F35" s="201">
        <f>SUM(F11:F34)</f>
        <v>14620</v>
      </c>
    </row>
    <row r="36" spans="1:6" ht="12.75">
      <c r="A36" s="75"/>
      <c r="B36" s="202"/>
      <c r="C36" s="202"/>
      <c r="D36" s="202"/>
      <c r="E36" s="202"/>
      <c r="F36" s="202"/>
    </row>
    <row r="38" spans="1:6" ht="15.75" customHeight="1">
      <c r="A38" s="76"/>
      <c r="B38" s="76"/>
      <c r="C38" s="76"/>
      <c r="D38" s="76"/>
      <c r="E38" s="76"/>
      <c r="F38" s="76"/>
    </row>
    <row r="39" spans="1:6" ht="15" customHeight="1">
      <c r="A39" s="770" t="s">
        <v>989</v>
      </c>
      <c r="B39" s="770"/>
      <c r="D39" s="360" t="s">
        <v>990</v>
      </c>
      <c r="F39" s="360" t="s">
        <v>996</v>
      </c>
    </row>
    <row r="40" spans="1:6" ht="12.75">
      <c r="A40" s="770" t="s">
        <v>991</v>
      </c>
      <c r="B40" s="770"/>
      <c r="D40" s="360" t="s">
        <v>997</v>
      </c>
      <c r="F40" s="360" t="s">
        <v>993</v>
      </c>
    </row>
    <row r="41" spans="1:6" ht="12.75">
      <c r="A41" s="766" t="s">
        <v>994</v>
      </c>
      <c r="B41" s="766"/>
      <c r="D41" s="361" t="s">
        <v>995</v>
      </c>
      <c r="F41" s="362" t="s">
        <v>995</v>
      </c>
    </row>
    <row r="42" spans="1:6" ht="12.75">
      <c r="A42" s="870"/>
      <c r="B42" s="870"/>
      <c r="C42" s="870"/>
      <c r="D42" s="870"/>
      <c r="E42" s="870"/>
      <c r="F42" s="870"/>
    </row>
  </sheetData>
  <sheetProtection/>
  <mergeCells count="13">
    <mergeCell ref="B8:B9"/>
    <mergeCell ref="A41:B41"/>
    <mergeCell ref="A7:B7"/>
    <mergeCell ref="A2:F2"/>
    <mergeCell ref="A39:B39"/>
    <mergeCell ref="A40:B40"/>
    <mergeCell ref="A42:F42"/>
    <mergeCell ref="A35:B35"/>
    <mergeCell ref="A3:F3"/>
    <mergeCell ref="A5:F5"/>
    <mergeCell ref="C8:D8"/>
    <mergeCell ref="E8:F8"/>
    <mergeCell ref="A8:A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rgb="FF92D050"/>
    <pageSetUpPr fitToPage="1"/>
  </sheetPr>
  <dimension ref="A1:M50"/>
  <sheetViews>
    <sheetView view="pageBreakPreview" zoomScale="70" zoomScaleNormal="85" zoomScaleSheetLayoutView="70" zoomScalePageLayoutView="0" workbookViewId="0" topLeftCell="A1">
      <selection activeCell="T57" sqref="T57"/>
    </sheetView>
  </sheetViews>
  <sheetFormatPr defaultColWidth="9.140625" defaultRowHeight="12.75"/>
  <cols>
    <col min="1" max="1" width="9.140625" style="12" customWidth="1"/>
    <col min="2" max="2" width="14.8515625" style="12" customWidth="1"/>
    <col min="3" max="3" width="16.421875" style="12" customWidth="1"/>
    <col min="4" max="4" width="10.8515625" style="12" customWidth="1"/>
    <col min="5" max="5" width="13.7109375" style="12" customWidth="1"/>
    <col min="6" max="6" width="14.28125" style="12" customWidth="1"/>
    <col min="7" max="7" width="11.421875" style="12" customWidth="1"/>
    <col min="8" max="8" width="12.28125" style="12" customWidth="1"/>
    <col min="9" max="9" width="16.28125" style="12" customWidth="1"/>
    <col min="10" max="10" width="19.28125" style="12" customWidth="1"/>
    <col min="11" max="16384" width="9.140625" style="12" customWidth="1"/>
  </cols>
  <sheetData>
    <row r="1" spans="1:13" ht="15">
      <c r="A1" s="121"/>
      <c r="B1" s="121"/>
      <c r="C1" s="121"/>
      <c r="D1" s="745"/>
      <c r="E1" s="745"/>
      <c r="F1" s="34"/>
      <c r="G1" s="745" t="s">
        <v>451</v>
      </c>
      <c r="H1" s="745"/>
      <c r="I1" s="745"/>
      <c r="J1" s="745"/>
      <c r="K1" s="78"/>
      <c r="L1" s="121"/>
      <c r="M1" s="121"/>
    </row>
    <row r="2" spans="1:13" ht="15.75">
      <c r="A2" s="656" t="s">
        <v>0</v>
      </c>
      <c r="B2" s="656"/>
      <c r="C2" s="656"/>
      <c r="D2" s="656"/>
      <c r="E2" s="656"/>
      <c r="F2" s="656"/>
      <c r="G2" s="656"/>
      <c r="H2" s="656"/>
      <c r="I2" s="656"/>
      <c r="J2" s="656"/>
      <c r="K2" s="121"/>
      <c r="L2" s="121"/>
      <c r="M2" s="121"/>
    </row>
    <row r="3" spans="1:13" ht="18">
      <c r="A3" s="878" t="s">
        <v>645</v>
      </c>
      <c r="B3" s="878"/>
      <c r="C3" s="878"/>
      <c r="D3" s="878"/>
      <c r="E3" s="878"/>
      <c r="F3" s="878"/>
      <c r="G3" s="878"/>
      <c r="H3" s="878"/>
      <c r="I3" s="878"/>
      <c r="J3" s="878"/>
      <c r="K3" s="121"/>
      <c r="L3" s="121"/>
      <c r="M3" s="121"/>
    </row>
    <row r="4" spans="1:13" ht="15.75">
      <c r="A4" s="658" t="s">
        <v>450</v>
      </c>
      <c r="B4" s="658"/>
      <c r="C4" s="658"/>
      <c r="D4" s="658"/>
      <c r="E4" s="658"/>
      <c r="F4" s="658"/>
      <c r="G4" s="658"/>
      <c r="H4" s="658"/>
      <c r="I4" s="658"/>
      <c r="J4" s="658"/>
      <c r="K4" s="121"/>
      <c r="L4" s="121"/>
      <c r="M4" s="121"/>
    </row>
    <row r="5" spans="1:13" ht="15.75">
      <c r="A5" s="593" t="s">
        <v>157</v>
      </c>
      <c r="B5" s="593"/>
      <c r="C5" s="70"/>
      <c r="D5" s="70"/>
      <c r="E5" s="70"/>
      <c r="F5" s="70"/>
      <c r="G5" s="70"/>
      <c r="H5" s="70"/>
      <c r="I5" s="70"/>
      <c r="J5" s="70"/>
      <c r="K5" s="121"/>
      <c r="L5" s="121"/>
      <c r="M5" s="121"/>
    </row>
    <row r="6" spans="1:13" ht="15">
      <c r="A6" s="121"/>
      <c r="B6" s="121"/>
      <c r="C6" s="121"/>
      <c r="D6" s="121"/>
      <c r="E6" s="121"/>
      <c r="F6" s="121"/>
      <c r="G6" s="121"/>
      <c r="H6" s="121"/>
      <c r="I6" s="347" t="s">
        <v>959</v>
      </c>
      <c r="J6" s="121"/>
      <c r="K6" s="121"/>
      <c r="L6" s="121"/>
      <c r="M6" s="121"/>
    </row>
    <row r="7" spans="1:13" ht="15.75">
      <c r="A7" s="879" t="s">
        <v>1</v>
      </c>
      <c r="B7" s="879" t="s">
        <v>2</v>
      </c>
      <c r="C7" s="881" t="s">
        <v>136</v>
      </c>
      <c r="D7" s="882"/>
      <c r="E7" s="882"/>
      <c r="F7" s="882"/>
      <c r="G7" s="882"/>
      <c r="H7" s="882"/>
      <c r="I7" s="882"/>
      <c r="J7" s="883"/>
      <c r="K7" s="121"/>
      <c r="L7" s="121"/>
      <c r="M7" s="121"/>
    </row>
    <row r="8" spans="1:13" ht="25.5">
      <c r="A8" s="880"/>
      <c r="B8" s="880"/>
      <c r="C8" s="72" t="s">
        <v>195</v>
      </c>
      <c r="D8" s="72" t="s">
        <v>116</v>
      </c>
      <c r="E8" s="72" t="s">
        <v>385</v>
      </c>
      <c r="F8" s="102" t="s">
        <v>162</v>
      </c>
      <c r="G8" s="102" t="s">
        <v>117</v>
      </c>
      <c r="H8" s="114" t="s">
        <v>194</v>
      </c>
      <c r="I8" s="114" t="s">
        <v>216</v>
      </c>
      <c r="J8" s="73" t="s">
        <v>13</v>
      </c>
      <c r="K8" s="77"/>
      <c r="L8" s="77"/>
      <c r="M8" s="77"/>
    </row>
    <row r="9" spans="1:13" s="11" customFormat="1" ht="12.75">
      <c r="A9" s="72">
        <v>1</v>
      </c>
      <c r="B9" s="72">
        <v>2</v>
      </c>
      <c r="C9" s="72">
        <v>3</v>
      </c>
      <c r="D9" s="72">
        <v>4</v>
      </c>
      <c r="E9" s="72">
        <v>5</v>
      </c>
      <c r="F9" s="72">
        <v>6</v>
      </c>
      <c r="G9" s="72">
        <v>7</v>
      </c>
      <c r="H9" s="74">
        <v>8</v>
      </c>
      <c r="I9" s="74">
        <v>9</v>
      </c>
      <c r="J9" s="73">
        <v>10</v>
      </c>
      <c r="K9" s="77"/>
      <c r="L9" s="77"/>
      <c r="M9" s="77"/>
    </row>
    <row r="10" spans="1:13" ht="12.75">
      <c r="A10" s="203">
        <v>1</v>
      </c>
      <c r="B10" s="224" t="s">
        <v>831</v>
      </c>
      <c r="C10" s="201"/>
      <c r="D10" s="201"/>
      <c r="E10" s="201">
        <f>'AT18_Details_Community '!D11+'AT18_Details_Community '!F11</f>
        <v>2477</v>
      </c>
      <c r="F10" s="201"/>
      <c r="G10" s="201"/>
      <c r="H10" s="494"/>
      <c r="I10" s="494"/>
      <c r="J10" s="495">
        <f>E10+G10</f>
        <v>2477</v>
      </c>
      <c r="K10" s="121"/>
      <c r="L10" s="121"/>
      <c r="M10" s="121"/>
    </row>
    <row r="11" spans="1:13" ht="12.75">
      <c r="A11" s="203">
        <v>2</v>
      </c>
      <c r="B11" s="224" t="s">
        <v>832</v>
      </c>
      <c r="C11" s="201"/>
      <c r="D11" s="201"/>
      <c r="E11" s="201">
        <f>'AT18_Details_Community '!D12+'AT18_Details_Community '!F12</f>
        <v>996</v>
      </c>
      <c r="F11" s="201"/>
      <c r="G11" s="201"/>
      <c r="H11" s="494"/>
      <c r="I11" s="494"/>
      <c r="J11" s="495">
        <f aca="true" t="shared" si="0" ref="J11:J33">E11+G11</f>
        <v>996</v>
      </c>
      <c r="K11" s="121"/>
      <c r="L11" s="121"/>
      <c r="M11" s="121"/>
    </row>
    <row r="12" spans="1:13" ht="12.75">
      <c r="A12" s="203">
        <v>3</v>
      </c>
      <c r="B12" s="224" t="s">
        <v>833</v>
      </c>
      <c r="C12" s="201"/>
      <c r="D12" s="201"/>
      <c r="E12" s="201">
        <f>'AT18_Details_Community '!D13+'AT18_Details_Community '!F13</f>
        <v>580</v>
      </c>
      <c r="F12" s="201"/>
      <c r="G12" s="201"/>
      <c r="H12" s="494"/>
      <c r="I12" s="494"/>
      <c r="J12" s="495">
        <f t="shared" si="0"/>
        <v>580</v>
      </c>
      <c r="K12" s="121"/>
      <c r="L12" s="121"/>
      <c r="M12" s="121"/>
    </row>
    <row r="13" spans="1:13" ht="12.75">
      <c r="A13" s="203">
        <v>4</v>
      </c>
      <c r="B13" s="224" t="s">
        <v>834</v>
      </c>
      <c r="C13" s="201"/>
      <c r="D13" s="201"/>
      <c r="E13" s="201">
        <f>'AT18_Details_Community '!D14+'AT18_Details_Community '!F14</f>
        <v>1731</v>
      </c>
      <c r="F13" s="201"/>
      <c r="G13" s="201"/>
      <c r="H13" s="494"/>
      <c r="I13" s="494"/>
      <c r="J13" s="495">
        <f t="shared" si="0"/>
        <v>1731</v>
      </c>
      <c r="K13" s="121"/>
      <c r="L13" s="121"/>
      <c r="M13" s="121"/>
    </row>
    <row r="14" spans="1:13" ht="12.75">
      <c r="A14" s="203">
        <v>5</v>
      </c>
      <c r="B14" s="224" t="s">
        <v>835</v>
      </c>
      <c r="C14" s="201"/>
      <c r="D14" s="201"/>
      <c r="E14" s="201">
        <f>'AT18_Details_Community '!D15+'AT18_Details_Community '!F15</f>
        <v>1078</v>
      </c>
      <c r="F14" s="201"/>
      <c r="G14" s="201"/>
      <c r="H14" s="494"/>
      <c r="I14" s="494"/>
      <c r="J14" s="495">
        <f t="shared" si="0"/>
        <v>1078</v>
      </c>
      <c r="K14" s="121"/>
      <c r="L14" s="121"/>
      <c r="M14" s="121"/>
    </row>
    <row r="15" spans="1:13" ht="12.75">
      <c r="A15" s="203">
        <v>6</v>
      </c>
      <c r="B15" s="224" t="s">
        <v>836</v>
      </c>
      <c r="C15" s="201"/>
      <c r="D15" s="201"/>
      <c r="E15" s="201">
        <f>'AT18_Details_Community '!D16+'AT18_Details_Community '!F16-327</f>
        <v>1627</v>
      </c>
      <c r="F15" s="201"/>
      <c r="G15" s="201">
        <v>327</v>
      </c>
      <c r="H15" s="494"/>
      <c r="I15" s="494"/>
      <c r="J15" s="495">
        <f t="shared" si="0"/>
        <v>1954</v>
      </c>
      <c r="K15" s="121"/>
      <c r="L15" s="121"/>
      <c r="M15" s="121"/>
    </row>
    <row r="16" spans="1:13" ht="12.75">
      <c r="A16" s="203">
        <v>7</v>
      </c>
      <c r="B16" s="224" t="s">
        <v>837</v>
      </c>
      <c r="C16" s="201"/>
      <c r="D16" s="201"/>
      <c r="E16" s="201">
        <f>'AT18_Details_Community '!D17+'AT18_Details_Community '!F17-84</f>
        <v>1576</v>
      </c>
      <c r="F16" s="201"/>
      <c r="G16" s="201">
        <v>84</v>
      </c>
      <c r="H16" s="494"/>
      <c r="I16" s="494"/>
      <c r="J16" s="495">
        <f t="shared" si="0"/>
        <v>1660</v>
      </c>
      <c r="K16" s="121"/>
      <c r="L16" s="121"/>
      <c r="M16" s="121"/>
    </row>
    <row r="17" spans="1:13" ht="12.75">
      <c r="A17" s="203">
        <v>8</v>
      </c>
      <c r="B17" s="224" t="s">
        <v>838</v>
      </c>
      <c r="C17" s="201"/>
      <c r="D17" s="201"/>
      <c r="E17" s="201">
        <f>'AT18_Details_Community '!D18+'AT18_Details_Community '!F18</f>
        <v>2252</v>
      </c>
      <c r="F17" s="201"/>
      <c r="G17" s="201"/>
      <c r="H17" s="494"/>
      <c r="I17" s="494"/>
      <c r="J17" s="495">
        <f t="shared" si="0"/>
        <v>2252</v>
      </c>
      <c r="K17" s="121"/>
      <c r="L17" s="121"/>
      <c r="M17" s="121"/>
    </row>
    <row r="18" spans="1:13" ht="12.75">
      <c r="A18" s="203">
        <v>9</v>
      </c>
      <c r="B18" s="224" t="s">
        <v>839</v>
      </c>
      <c r="C18" s="201"/>
      <c r="D18" s="201"/>
      <c r="E18" s="201">
        <f>'AT18_Details_Community '!D19+'AT18_Details_Community '!F19</f>
        <v>2574</v>
      </c>
      <c r="F18" s="201"/>
      <c r="G18" s="201"/>
      <c r="H18" s="494"/>
      <c r="I18" s="494"/>
      <c r="J18" s="495">
        <f t="shared" si="0"/>
        <v>2574</v>
      </c>
      <c r="K18" s="121"/>
      <c r="L18" s="121"/>
      <c r="M18" s="121"/>
    </row>
    <row r="19" spans="1:13" ht="12.75">
      <c r="A19" s="203">
        <v>10</v>
      </c>
      <c r="B19" s="224" t="s">
        <v>840</v>
      </c>
      <c r="C19" s="201"/>
      <c r="D19" s="201"/>
      <c r="E19" s="201">
        <f>'AT18_Details_Community '!D20+'AT18_Details_Community '!F20</f>
        <v>1175</v>
      </c>
      <c r="F19" s="201"/>
      <c r="G19" s="201"/>
      <c r="H19" s="494"/>
      <c r="I19" s="494"/>
      <c r="J19" s="495">
        <f t="shared" si="0"/>
        <v>1175</v>
      </c>
      <c r="K19" s="121"/>
      <c r="L19" s="121"/>
      <c r="M19" s="121"/>
    </row>
    <row r="20" spans="1:13" ht="12.75">
      <c r="A20" s="203">
        <v>11</v>
      </c>
      <c r="B20" s="224" t="s">
        <v>841</v>
      </c>
      <c r="C20" s="201"/>
      <c r="D20" s="201"/>
      <c r="E20" s="201">
        <f>'AT18_Details_Community '!D21+'AT18_Details_Community '!F21</f>
        <v>1533</v>
      </c>
      <c r="F20" s="201"/>
      <c r="G20" s="201"/>
      <c r="H20" s="494"/>
      <c r="I20" s="494"/>
      <c r="J20" s="495">
        <f t="shared" si="0"/>
        <v>1533</v>
      </c>
      <c r="K20" s="121"/>
      <c r="L20" s="121"/>
      <c r="M20" s="121"/>
    </row>
    <row r="21" spans="1:13" ht="12.75">
      <c r="A21" s="203">
        <v>12</v>
      </c>
      <c r="B21" s="224" t="s">
        <v>842</v>
      </c>
      <c r="C21" s="201"/>
      <c r="D21" s="201"/>
      <c r="E21" s="201">
        <f>'AT18_Details_Community '!D22+'AT18_Details_Community '!F22</f>
        <v>1597</v>
      </c>
      <c r="F21" s="201"/>
      <c r="G21" s="201"/>
      <c r="H21" s="494"/>
      <c r="I21" s="494"/>
      <c r="J21" s="495">
        <f t="shared" si="0"/>
        <v>1597</v>
      </c>
      <c r="K21" s="121"/>
      <c r="L21" s="121"/>
      <c r="M21" s="121"/>
    </row>
    <row r="22" spans="1:13" ht="12.75">
      <c r="A22" s="203">
        <v>13</v>
      </c>
      <c r="B22" s="224" t="s">
        <v>843</v>
      </c>
      <c r="C22" s="201"/>
      <c r="D22" s="201"/>
      <c r="E22" s="201">
        <f>'AT18_Details_Community '!D23+'AT18_Details_Community '!F23</f>
        <v>700</v>
      </c>
      <c r="F22" s="201"/>
      <c r="G22" s="201"/>
      <c r="H22" s="494"/>
      <c r="I22" s="494"/>
      <c r="J22" s="495">
        <f t="shared" si="0"/>
        <v>700</v>
      </c>
      <c r="K22" s="121"/>
      <c r="L22" s="121"/>
      <c r="M22" s="121"/>
    </row>
    <row r="23" spans="1:13" ht="12.75">
      <c r="A23" s="203">
        <v>14</v>
      </c>
      <c r="B23" s="224" t="s">
        <v>844</v>
      </c>
      <c r="C23" s="201"/>
      <c r="D23" s="201"/>
      <c r="E23" s="201">
        <f>'AT18_Details_Community '!D24+'AT18_Details_Community '!F24</f>
        <v>723</v>
      </c>
      <c r="F23" s="201"/>
      <c r="G23" s="201"/>
      <c r="H23" s="494"/>
      <c r="I23" s="494"/>
      <c r="J23" s="495">
        <f t="shared" si="0"/>
        <v>723</v>
      </c>
      <c r="K23" s="121"/>
      <c r="L23" s="121"/>
      <c r="M23" s="121"/>
    </row>
    <row r="24" spans="1:13" ht="12.75">
      <c r="A24" s="203">
        <v>15</v>
      </c>
      <c r="B24" s="224" t="s">
        <v>845</v>
      </c>
      <c r="C24" s="201"/>
      <c r="D24" s="201"/>
      <c r="E24" s="201">
        <f>'AT18_Details_Community '!D25+'AT18_Details_Community '!F25</f>
        <v>1794</v>
      </c>
      <c r="F24" s="201"/>
      <c r="G24" s="201"/>
      <c r="H24" s="494"/>
      <c r="I24" s="494"/>
      <c r="J24" s="495">
        <f t="shared" si="0"/>
        <v>1794</v>
      </c>
      <c r="K24" s="121"/>
      <c r="L24" s="121"/>
      <c r="M24" s="121"/>
    </row>
    <row r="25" spans="1:13" ht="12.75">
      <c r="A25" s="203">
        <v>16</v>
      </c>
      <c r="B25" s="224" t="s">
        <v>846</v>
      </c>
      <c r="C25" s="201"/>
      <c r="D25" s="201"/>
      <c r="E25" s="201">
        <f>'AT18_Details_Community '!D26+'AT18_Details_Community '!F26</f>
        <v>3359</v>
      </c>
      <c r="F25" s="201"/>
      <c r="G25" s="201"/>
      <c r="H25" s="494"/>
      <c r="I25" s="494"/>
      <c r="J25" s="495">
        <f t="shared" si="0"/>
        <v>3359</v>
      </c>
      <c r="K25" s="121"/>
      <c r="L25" s="121"/>
      <c r="M25" s="121"/>
    </row>
    <row r="26" spans="1:13" ht="12.75">
      <c r="A26" s="203">
        <v>17</v>
      </c>
      <c r="B26" s="224" t="s">
        <v>847</v>
      </c>
      <c r="C26" s="201"/>
      <c r="D26" s="201"/>
      <c r="E26" s="201">
        <f>'AT18_Details_Community '!D27+'AT18_Details_Community '!F27</f>
        <v>1832</v>
      </c>
      <c r="F26" s="201"/>
      <c r="G26" s="201"/>
      <c r="H26" s="494"/>
      <c r="I26" s="494"/>
      <c r="J26" s="495">
        <f t="shared" si="0"/>
        <v>1832</v>
      </c>
      <c r="K26" s="121"/>
      <c r="L26" s="121"/>
      <c r="M26" s="121"/>
    </row>
    <row r="27" spans="1:13" ht="12.75">
      <c r="A27" s="203">
        <v>18</v>
      </c>
      <c r="B27" s="224" t="s">
        <v>848</v>
      </c>
      <c r="C27" s="201"/>
      <c r="D27" s="201"/>
      <c r="E27" s="201">
        <f>'AT18_Details_Community '!D28+'AT18_Details_Community '!F28</f>
        <v>1730</v>
      </c>
      <c r="F27" s="201"/>
      <c r="G27" s="201"/>
      <c r="H27" s="494"/>
      <c r="I27" s="494"/>
      <c r="J27" s="495">
        <f t="shared" si="0"/>
        <v>1730</v>
      </c>
      <c r="K27" s="121"/>
      <c r="L27" s="121"/>
      <c r="M27" s="121"/>
    </row>
    <row r="28" spans="1:13" ht="12.75">
      <c r="A28" s="203">
        <v>19</v>
      </c>
      <c r="B28" s="224" t="s">
        <v>849</v>
      </c>
      <c r="C28" s="201"/>
      <c r="D28" s="201"/>
      <c r="E28" s="201">
        <f>'AT18_Details_Community '!D29+'AT18_Details_Community '!F29</f>
        <v>2497</v>
      </c>
      <c r="F28" s="201"/>
      <c r="G28" s="201"/>
      <c r="H28" s="494"/>
      <c r="I28" s="494"/>
      <c r="J28" s="495">
        <f t="shared" si="0"/>
        <v>2497</v>
      </c>
      <c r="K28" s="121"/>
      <c r="L28" s="121"/>
      <c r="M28" s="121"/>
    </row>
    <row r="29" spans="1:13" ht="12.75">
      <c r="A29" s="203">
        <v>20</v>
      </c>
      <c r="B29" s="224" t="s">
        <v>850</v>
      </c>
      <c r="C29" s="201"/>
      <c r="D29" s="201"/>
      <c r="E29" s="201">
        <f>'AT18_Details_Community '!D30+'AT18_Details_Community '!F30</f>
        <v>1166</v>
      </c>
      <c r="F29" s="201"/>
      <c r="G29" s="201"/>
      <c r="H29" s="494"/>
      <c r="I29" s="494"/>
      <c r="J29" s="495">
        <f t="shared" si="0"/>
        <v>1166</v>
      </c>
      <c r="K29" s="121"/>
      <c r="L29" s="121"/>
      <c r="M29" s="121"/>
    </row>
    <row r="30" spans="1:13" ht="12.75">
      <c r="A30" s="203">
        <v>21</v>
      </c>
      <c r="B30" s="224" t="s">
        <v>851</v>
      </c>
      <c r="C30" s="201"/>
      <c r="D30" s="201"/>
      <c r="E30" s="201">
        <f>'AT18_Details_Community '!D31+'AT18_Details_Community '!F31</f>
        <v>1434</v>
      </c>
      <c r="F30" s="201"/>
      <c r="G30" s="201"/>
      <c r="H30" s="494"/>
      <c r="I30" s="494"/>
      <c r="J30" s="495">
        <f t="shared" si="0"/>
        <v>1434</v>
      </c>
      <c r="K30" s="121"/>
      <c r="L30" s="121"/>
      <c r="M30" s="121"/>
    </row>
    <row r="31" spans="1:13" ht="12.75">
      <c r="A31" s="203">
        <v>22</v>
      </c>
      <c r="B31" s="224" t="s">
        <v>852</v>
      </c>
      <c r="C31" s="201"/>
      <c r="D31" s="201"/>
      <c r="E31" s="201">
        <f>'AT18_Details_Community '!D32+'AT18_Details_Community '!F32</f>
        <v>1061</v>
      </c>
      <c r="F31" s="201"/>
      <c r="G31" s="201"/>
      <c r="H31" s="494"/>
      <c r="I31" s="494"/>
      <c r="J31" s="495">
        <f t="shared" si="0"/>
        <v>1061</v>
      </c>
      <c r="K31" s="121"/>
      <c r="L31" s="121"/>
      <c r="M31" s="121"/>
    </row>
    <row r="32" spans="1:13" ht="12.75">
      <c r="A32" s="203">
        <v>23</v>
      </c>
      <c r="B32" s="224" t="s">
        <v>853</v>
      </c>
      <c r="C32" s="201"/>
      <c r="D32" s="201"/>
      <c r="E32" s="201">
        <f>'AT18_Details_Community '!D33+'AT18_Details_Community '!F33</f>
        <v>1727</v>
      </c>
      <c r="F32" s="201"/>
      <c r="G32" s="201"/>
      <c r="H32" s="494"/>
      <c r="I32" s="494"/>
      <c r="J32" s="495">
        <f t="shared" si="0"/>
        <v>1727</v>
      </c>
      <c r="K32" s="121"/>
      <c r="L32" s="121"/>
      <c r="M32" s="121"/>
    </row>
    <row r="33" spans="1:13" ht="12.75">
      <c r="A33" s="203">
        <v>24</v>
      </c>
      <c r="B33" s="224" t="s">
        <v>854</v>
      </c>
      <c r="C33" s="201"/>
      <c r="D33" s="201"/>
      <c r="E33" s="201">
        <f>'AT18_Details_Community '!D34+'AT18_Details_Community '!F34</f>
        <v>2092</v>
      </c>
      <c r="F33" s="201"/>
      <c r="G33" s="201"/>
      <c r="H33" s="494"/>
      <c r="I33" s="494"/>
      <c r="J33" s="495">
        <f t="shared" si="0"/>
        <v>2092</v>
      </c>
      <c r="K33" s="121"/>
      <c r="L33" s="121"/>
      <c r="M33" s="121"/>
    </row>
    <row r="34" spans="1:13" s="11" customFormat="1" ht="12.75">
      <c r="A34" s="871" t="s">
        <v>13</v>
      </c>
      <c r="B34" s="872"/>
      <c r="C34" s="204"/>
      <c r="D34" s="204"/>
      <c r="E34" s="204">
        <f>SUM(E10:E33)</f>
        <v>39311</v>
      </c>
      <c r="F34" s="204"/>
      <c r="G34" s="204"/>
      <c r="H34" s="496"/>
      <c r="I34" s="496"/>
      <c r="J34" s="497">
        <f>SUM(J10:J33)</f>
        <v>39722</v>
      </c>
      <c r="L34" s="77"/>
      <c r="M34" s="77"/>
    </row>
    <row r="35" spans="1:13" ht="12.75">
      <c r="A35" s="492"/>
      <c r="B35" s="121"/>
      <c r="C35" s="121"/>
      <c r="D35" s="121"/>
      <c r="E35" s="121"/>
      <c r="F35" s="121"/>
      <c r="G35" s="121"/>
      <c r="H35" s="121"/>
      <c r="I35" s="121"/>
      <c r="J35" s="121"/>
      <c r="K35" s="121"/>
      <c r="L35" s="121"/>
      <c r="M35" s="121"/>
    </row>
    <row r="36" spans="1:13" ht="12.75">
      <c r="A36" s="121"/>
      <c r="B36" s="121"/>
      <c r="C36" s="121"/>
      <c r="D36" s="121"/>
      <c r="E36" s="121"/>
      <c r="F36" s="121"/>
      <c r="G36" s="121"/>
      <c r="H36" s="121"/>
      <c r="I36" s="121"/>
      <c r="J36" s="121"/>
      <c r="K36" s="121"/>
      <c r="L36" s="121"/>
      <c r="M36" s="121"/>
    </row>
    <row r="37" spans="1:13" ht="12.75">
      <c r="A37" s="121" t="s">
        <v>118</v>
      </c>
      <c r="B37" s="121"/>
      <c r="C37" s="121"/>
      <c r="D37" s="121"/>
      <c r="E37" s="121"/>
      <c r="F37" s="121"/>
      <c r="G37" s="121"/>
      <c r="H37" s="121"/>
      <c r="I37" s="121"/>
      <c r="J37" s="121"/>
      <c r="K37" s="121"/>
      <c r="L37" s="121"/>
      <c r="M37" s="121"/>
    </row>
    <row r="38" spans="1:13" ht="12.75">
      <c r="A38" s="121" t="s">
        <v>196</v>
      </c>
      <c r="B38" s="121"/>
      <c r="C38" s="121"/>
      <c r="D38" s="121"/>
      <c r="E38" s="121"/>
      <c r="F38" s="121"/>
      <c r="G38" s="121"/>
      <c r="H38" s="121"/>
      <c r="I38" s="121"/>
      <c r="J38" s="121"/>
      <c r="K38" s="121"/>
      <c r="L38" s="121"/>
      <c r="M38" s="121"/>
    </row>
    <row r="39" ht="12.75">
      <c r="A39" s="12" t="s">
        <v>119</v>
      </c>
    </row>
    <row r="40" spans="1:13" ht="12.75">
      <c r="A40" s="876" t="s">
        <v>120</v>
      </c>
      <c r="B40" s="876"/>
      <c r="C40" s="876"/>
      <c r="D40" s="876"/>
      <c r="E40" s="876"/>
      <c r="F40" s="876"/>
      <c r="G40" s="876"/>
      <c r="H40" s="876"/>
      <c r="I40" s="876"/>
      <c r="J40" s="876"/>
      <c r="K40" s="876"/>
      <c r="L40" s="876"/>
      <c r="M40" s="876"/>
    </row>
    <row r="41" spans="1:13" ht="12.75">
      <c r="A41" s="877" t="s">
        <v>121</v>
      </c>
      <c r="B41" s="877"/>
      <c r="C41" s="877"/>
      <c r="D41" s="877"/>
      <c r="E41" s="121"/>
      <c r="F41" s="121"/>
      <c r="G41" s="121"/>
      <c r="H41" s="121"/>
      <c r="I41" s="121"/>
      <c r="J41" s="121"/>
      <c r="K41" s="121"/>
      <c r="L41" s="121"/>
      <c r="M41" s="121"/>
    </row>
    <row r="42" spans="1:13" ht="12.75">
      <c r="A42" s="498" t="s">
        <v>163</v>
      </c>
      <c r="B42" s="498"/>
      <c r="C42" s="498"/>
      <c r="D42" s="498"/>
      <c r="E42" s="121"/>
      <c r="F42" s="121"/>
      <c r="G42" s="121"/>
      <c r="H42" s="121"/>
      <c r="I42" s="121"/>
      <c r="J42" s="121"/>
      <c r="K42" s="121"/>
      <c r="L42" s="121"/>
      <c r="M42" s="121"/>
    </row>
    <row r="43" spans="1:13" ht="12.75">
      <c r="A43" s="498"/>
      <c r="B43" s="498"/>
      <c r="C43" s="498"/>
      <c r="D43" s="498"/>
      <c r="E43" s="121"/>
      <c r="F43" s="121"/>
      <c r="G43" s="121"/>
      <c r="H43" s="121"/>
      <c r="I43" s="121"/>
      <c r="J43" s="121"/>
      <c r="K43" s="121"/>
      <c r="L43" s="121"/>
      <c r="M43" s="121"/>
    </row>
    <row r="44" spans="1:13" ht="12.75">
      <c r="A44" s="498"/>
      <c r="B44" s="498"/>
      <c r="C44" s="498"/>
      <c r="D44" s="498"/>
      <c r="E44" s="121"/>
      <c r="F44" s="121"/>
      <c r="G44" s="121"/>
      <c r="H44" s="121"/>
      <c r="I44" s="121"/>
      <c r="J44" s="121"/>
      <c r="K44" s="121"/>
      <c r="L44" s="121"/>
      <c r="M44" s="121"/>
    </row>
    <row r="45" spans="1:13" ht="12.75">
      <c r="A45" s="498"/>
      <c r="B45" s="498"/>
      <c r="C45" s="498"/>
      <c r="D45" s="498"/>
      <c r="E45" s="121"/>
      <c r="F45" s="121"/>
      <c r="G45" s="121"/>
      <c r="H45" s="121"/>
      <c r="I45" s="121"/>
      <c r="J45" s="121"/>
      <c r="K45" s="121"/>
      <c r="L45" s="121"/>
      <c r="M45" s="121"/>
    </row>
    <row r="46" spans="1:13" ht="15.75">
      <c r="A46" s="76"/>
      <c r="B46" s="76"/>
      <c r="C46" s="76"/>
      <c r="D46" s="76"/>
      <c r="E46" s="76"/>
      <c r="F46" s="76"/>
      <c r="G46" s="76"/>
      <c r="H46" s="76"/>
      <c r="I46" s="76"/>
      <c r="J46" s="103"/>
      <c r="K46" s="103"/>
      <c r="L46" s="121"/>
      <c r="M46" s="121"/>
    </row>
    <row r="47" spans="1:13" ht="15.75">
      <c r="A47" s="103"/>
      <c r="B47" s="103"/>
      <c r="C47" s="103"/>
      <c r="D47" s="103"/>
      <c r="E47" s="103"/>
      <c r="F47" s="103"/>
      <c r="G47" s="103"/>
      <c r="H47" s="103"/>
      <c r="I47" s="103"/>
      <c r="J47" s="103"/>
      <c r="K47" s="121"/>
      <c r="L47" s="121"/>
      <c r="M47" s="121"/>
    </row>
    <row r="48" spans="1:13" ht="12.75">
      <c r="A48" s="559" t="s">
        <v>989</v>
      </c>
      <c r="B48" s="559"/>
      <c r="C48" s="559"/>
      <c r="F48" s="559" t="s">
        <v>990</v>
      </c>
      <c r="G48" s="559"/>
      <c r="I48" s="559" t="s">
        <v>996</v>
      </c>
      <c r="J48" s="559"/>
      <c r="K48" s="559"/>
      <c r="L48" s="121"/>
      <c r="M48" s="121"/>
    </row>
    <row r="49" spans="1:13" ht="12.75">
      <c r="A49" s="559" t="s">
        <v>991</v>
      </c>
      <c r="B49" s="559"/>
      <c r="C49" s="559"/>
      <c r="F49" s="559" t="s">
        <v>992</v>
      </c>
      <c r="G49" s="559"/>
      <c r="I49" s="559" t="s">
        <v>993</v>
      </c>
      <c r="J49" s="559" t="s">
        <v>993</v>
      </c>
      <c r="K49" s="559"/>
      <c r="L49" s="29"/>
      <c r="M49" s="121"/>
    </row>
    <row r="50" spans="1:13" ht="12.75">
      <c r="A50" s="559" t="s">
        <v>994</v>
      </c>
      <c r="B50" s="559"/>
      <c r="C50" s="559"/>
      <c r="F50" s="559" t="s">
        <v>995</v>
      </c>
      <c r="G50" s="559"/>
      <c r="I50" s="559" t="s">
        <v>995</v>
      </c>
      <c r="J50" s="559" t="s">
        <v>995</v>
      </c>
      <c r="K50" s="559"/>
      <c r="L50" s="121"/>
      <c r="M50" s="121"/>
    </row>
  </sheetData>
  <sheetProtection/>
  <mergeCells count="23">
    <mergeCell ref="D1:E1"/>
    <mergeCell ref="G1:J1"/>
    <mergeCell ref="A2:J2"/>
    <mergeCell ref="A4:J4"/>
    <mergeCell ref="A5:B5"/>
    <mergeCell ref="K40:M40"/>
    <mergeCell ref="A7:A8"/>
    <mergeCell ref="B7:B8"/>
    <mergeCell ref="C7:J7"/>
    <mergeCell ref="A34:B34"/>
    <mergeCell ref="A3:J3"/>
    <mergeCell ref="A49:C49"/>
    <mergeCell ref="F49:G49"/>
    <mergeCell ref="I49:K49"/>
    <mergeCell ref="A48:C48"/>
    <mergeCell ref="F48:G48"/>
    <mergeCell ref="I48:K48"/>
    <mergeCell ref="A50:C50"/>
    <mergeCell ref="F50:G50"/>
    <mergeCell ref="I50:K50"/>
    <mergeCell ref="A40:D40"/>
    <mergeCell ref="E40:J40"/>
    <mergeCell ref="A41:D4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tabColor rgb="FF92D050"/>
    <pageSetUpPr fitToPage="1"/>
  </sheetPr>
  <dimension ref="A1:Z44"/>
  <sheetViews>
    <sheetView view="pageBreakPreview" zoomScale="70" zoomScaleNormal="80" zoomScaleSheetLayoutView="70" zoomScalePageLayoutView="0" workbookViewId="0" topLeftCell="E1">
      <selection activeCell="T58" sqref="T58"/>
    </sheetView>
  </sheetViews>
  <sheetFormatPr defaultColWidth="9.140625" defaultRowHeight="12.75"/>
  <cols>
    <col min="1" max="1" width="6.140625" style="12" customWidth="1"/>
    <col min="2" max="11" width="17.00390625" style="12" customWidth="1"/>
    <col min="12" max="12" width="18.8515625" style="12" customWidth="1"/>
    <col min="13" max="13" width="18.7109375" style="12" customWidth="1"/>
    <col min="14" max="14" width="12.28125" style="12" customWidth="1"/>
    <col min="15" max="15" width="12.7109375" style="12" customWidth="1"/>
    <col min="16" max="16" width="16.140625" style="12" customWidth="1"/>
    <col min="17" max="16384" width="9.140625" style="12" customWidth="1"/>
  </cols>
  <sheetData>
    <row r="1" spans="1:16" ht="15">
      <c r="A1" s="121"/>
      <c r="B1" s="121"/>
      <c r="C1" s="121"/>
      <c r="D1" s="121"/>
      <c r="E1" s="121"/>
      <c r="F1" s="121"/>
      <c r="G1" s="121"/>
      <c r="H1" s="121"/>
      <c r="I1" s="121"/>
      <c r="J1" s="121"/>
      <c r="K1" s="121"/>
      <c r="L1" s="745" t="s">
        <v>554</v>
      </c>
      <c r="M1" s="745"/>
      <c r="N1" s="78"/>
      <c r="O1" s="121"/>
      <c r="P1" s="121"/>
    </row>
    <row r="2" spans="1:16" ht="15.75">
      <c r="A2" s="656" t="s">
        <v>0</v>
      </c>
      <c r="B2" s="656"/>
      <c r="C2" s="656"/>
      <c r="D2" s="656"/>
      <c r="E2" s="656"/>
      <c r="F2" s="656"/>
      <c r="G2" s="656"/>
      <c r="H2" s="656"/>
      <c r="I2" s="656"/>
      <c r="J2" s="656"/>
      <c r="K2" s="656"/>
      <c r="L2" s="656"/>
      <c r="M2" s="656"/>
      <c r="N2" s="121"/>
      <c r="O2" s="121"/>
      <c r="P2" s="121"/>
    </row>
    <row r="3" spans="1:16" ht="20.25">
      <c r="A3" s="657" t="s">
        <v>645</v>
      </c>
      <c r="B3" s="657"/>
      <c r="C3" s="657"/>
      <c r="D3" s="657"/>
      <c r="E3" s="657"/>
      <c r="F3" s="657"/>
      <c r="G3" s="657"/>
      <c r="H3" s="657"/>
      <c r="I3" s="657"/>
      <c r="J3" s="657"/>
      <c r="K3" s="657"/>
      <c r="L3" s="657"/>
      <c r="M3" s="657"/>
      <c r="N3" s="121"/>
      <c r="O3" s="121"/>
      <c r="P3" s="121"/>
    </row>
    <row r="4" spans="1:16" ht="12.75">
      <c r="A4" s="121"/>
      <c r="B4" s="121"/>
      <c r="C4" s="121"/>
      <c r="D4" s="121"/>
      <c r="E4" s="121"/>
      <c r="F4" s="121"/>
      <c r="G4" s="121"/>
      <c r="H4" s="121"/>
      <c r="I4" s="121"/>
      <c r="J4" s="121"/>
      <c r="K4" s="121"/>
      <c r="L4" s="121"/>
      <c r="M4" s="121"/>
      <c r="N4" s="121"/>
      <c r="O4" s="121"/>
      <c r="P4" s="121"/>
    </row>
    <row r="5" spans="1:16" ht="15.75">
      <c r="A5" s="658" t="s">
        <v>553</v>
      </c>
      <c r="B5" s="658"/>
      <c r="C5" s="658"/>
      <c r="D5" s="658"/>
      <c r="E5" s="658"/>
      <c r="F5" s="658"/>
      <c r="G5" s="658"/>
      <c r="H5" s="658"/>
      <c r="I5" s="658"/>
      <c r="J5" s="658"/>
      <c r="K5" s="658"/>
      <c r="L5" s="658"/>
      <c r="M5" s="658"/>
      <c r="N5" s="121"/>
      <c r="O5" s="121"/>
      <c r="P5" s="121"/>
    </row>
    <row r="6" spans="1:16" ht="12.75">
      <c r="A6" s="121"/>
      <c r="B6" s="121"/>
      <c r="C6" s="121"/>
      <c r="D6" s="121"/>
      <c r="E6" s="121"/>
      <c r="F6" s="121"/>
      <c r="G6" s="121"/>
      <c r="H6" s="121"/>
      <c r="I6" s="121"/>
      <c r="J6" s="121"/>
      <c r="K6" s="121"/>
      <c r="L6" s="121"/>
      <c r="M6" s="121"/>
      <c r="N6" s="121"/>
      <c r="O6" s="121"/>
      <c r="P6" s="121"/>
    </row>
    <row r="7" spans="1:16" ht="12.75">
      <c r="A7" s="593" t="s">
        <v>157</v>
      </c>
      <c r="B7" s="593"/>
      <c r="C7" s="25"/>
      <c r="D7" s="25"/>
      <c r="E7" s="25"/>
      <c r="F7" s="121"/>
      <c r="G7" s="121"/>
      <c r="H7" s="121"/>
      <c r="I7" s="121"/>
      <c r="J7" s="121"/>
      <c r="K7" s="121"/>
      <c r="L7" s="121"/>
      <c r="M7" s="121"/>
      <c r="N7" s="121"/>
      <c r="O7" s="121"/>
      <c r="P7" s="121"/>
    </row>
    <row r="8" spans="1:16" ht="18.75">
      <c r="A8" s="71"/>
      <c r="B8" s="71"/>
      <c r="C8" s="71"/>
      <c r="D8" s="71"/>
      <c r="E8" s="71"/>
      <c r="F8" s="121"/>
      <c r="G8" s="121"/>
      <c r="H8" s="121"/>
      <c r="I8" s="121"/>
      <c r="J8" s="121"/>
      <c r="K8" s="393"/>
      <c r="M8" s="394" t="s">
        <v>959</v>
      </c>
      <c r="N8" s="121"/>
      <c r="O8" s="121"/>
      <c r="P8" s="121"/>
    </row>
    <row r="9" spans="1:26" ht="19.5" customHeight="1">
      <c r="A9" s="869" t="s">
        <v>1</v>
      </c>
      <c r="B9" s="869" t="s">
        <v>2</v>
      </c>
      <c r="C9" s="885" t="s">
        <v>116</v>
      </c>
      <c r="D9" s="885"/>
      <c r="E9" s="886"/>
      <c r="F9" s="884" t="s">
        <v>117</v>
      </c>
      <c r="G9" s="885"/>
      <c r="H9" s="885"/>
      <c r="I9" s="886"/>
      <c r="J9" s="884" t="s">
        <v>194</v>
      </c>
      <c r="K9" s="885"/>
      <c r="L9" s="885"/>
      <c r="M9" s="886"/>
      <c r="Y9" s="15"/>
      <c r="Z9" s="17"/>
    </row>
    <row r="10" spans="1:13" ht="45.75" customHeight="1">
      <c r="A10" s="869"/>
      <c r="B10" s="869"/>
      <c r="C10" s="105" t="s">
        <v>387</v>
      </c>
      <c r="D10" s="4" t="s">
        <v>384</v>
      </c>
      <c r="E10" s="105" t="s">
        <v>197</v>
      </c>
      <c r="F10" s="4" t="s">
        <v>382</v>
      </c>
      <c r="G10" s="105" t="s">
        <v>383</v>
      </c>
      <c r="H10" s="4" t="s">
        <v>384</v>
      </c>
      <c r="I10" s="105" t="s">
        <v>197</v>
      </c>
      <c r="J10" s="4" t="s">
        <v>386</v>
      </c>
      <c r="K10" s="105" t="s">
        <v>383</v>
      </c>
      <c r="L10" s="4" t="s">
        <v>384</v>
      </c>
      <c r="M10" s="5" t="s">
        <v>197</v>
      </c>
    </row>
    <row r="11" spans="1:13" s="11" customFormat="1" ht="12.75">
      <c r="A11" s="72">
        <v>1</v>
      </c>
      <c r="B11" s="72">
        <v>2</v>
      </c>
      <c r="C11" s="72">
        <v>3</v>
      </c>
      <c r="D11" s="72">
        <v>4</v>
      </c>
      <c r="E11" s="72">
        <v>5</v>
      </c>
      <c r="F11" s="72">
        <v>6</v>
      </c>
      <c r="G11" s="72">
        <v>7</v>
      </c>
      <c r="H11" s="72">
        <v>8</v>
      </c>
      <c r="I11" s="72">
        <v>9</v>
      </c>
      <c r="J11" s="72">
        <v>10</v>
      </c>
      <c r="K11" s="72">
        <v>11</v>
      </c>
      <c r="L11" s="72">
        <v>12</v>
      </c>
      <c r="M11" s="72">
        <v>13</v>
      </c>
    </row>
    <row r="12" spans="1:13" ht="12.75">
      <c r="A12" s="203">
        <v>1</v>
      </c>
      <c r="B12" s="224" t="s">
        <v>831</v>
      </c>
      <c r="C12" s="201"/>
      <c r="D12" s="201"/>
      <c r="E12" s="201"/>
      <c r="F12" s="201"/>
      <c r="G12" s="201"/>
      <c r="H12" s="201"/>
      <c r="I12" s="201"/>
      <c r="J12" s="201"/>
      <c r="K12" s="201"/>
      <c r="L12" s="201"/>
      <c r="M12" s="201"/>
    </row>
    <row r="13" spans="1:13" ht="12.75">
      <c r="A13" s="203">
        <v>2</v>
      </c>
      <c r="B13" s="224" t="s">
        <v>832</v>
      </c>
      <c r="C13" s="201"/>
      <c r="D13" s="201"/>
      <c r="E13" s="201"/>
      <c r="F13" s="201"/>
      <c r="G13" s="201"/>
      <c r="H13" s="201"/>
      <c r="I13" s="201"/>
      <c r="J13" s="201"/>
      <c r="K13" s="201"/>
      <c r="L13" s="201"/>
      <c r="M13" s="201"/>
    </row>
    <row r="14" spans="1:13" ht="12.75">
      <c r="A14" s="203">
        <v>3</v>
      </c>
      <c r="B14" s="224" t="s">
        <v>833</v>
      </c>
      <c r="C14" s="201"/>
      <c r="D14" s="201"/>
      <c r="E14" s="201"/>
      <c r="F14" s="201"/>
      <c r="G14" s="201"/>
      <c r="H14" s="201"/>
      <c r="I14" s="201"/>
      <c r="J14" s="201"/>
      <c r="K14" s="201"/>
      <c r="L14" s="201"/>
      <c r="M14" s="201"/>
    </row>
    <row r="15" spans="1:13" ht="12.75">
      <c r="A15" s="203">
        <v>4</v>
      </c>
      <c r="B15" s="224" t="s">
        <v>834</v>
      </c>
      <c r="C15" s="201"/>
      <c r="D15" s="201"/>
      <c r="E15" s="201"/>
      <c r="F15" s="201"/>
      <c r="G15" s="201"/>
      <c r="H15" s="201"/>
      <c r="I15" s="201"/>
      <c r="J15" s="201"/>
      <c r="K15" s="201"/>
      <c r="L15" s="201"/>
      <c r="M15" s="201"/>
    </row>
    <row r="16" spans="1:13" ht="12.75">
      <c r="A16" s="203">
        <v>5</v>
      </c>
      <c r="B16" s="224" t="s">
        <v>835</v>
      </c>
      <c r="C16" s="201"/>
      <c r="D16" s="201"/>
      <c r="E16" s="201"/>
      <c r="F16" s="201"/>
      <c r="G16" s="201"/>
      <c r="H16" s="201"/>
      <c r="I16" s="201"/>
      <c r="J16" s="201"/>
      <c r="K16" s="201"/>
      <c r="L16" s="201"/>
      <c r="M16" s="201"/>
    </row>
    <row r="17" spans="1:13" ht="12.75">
      <c r="A17" s="203">
        <v>6</v>
      </c>
      <c r="B17" s="224" t="s">
        <v>836</v>
      </c>
      <c r="C17" s="201"/>
      <c r="D17" s="201"/>
      <c r="E17" s="201"/>
      <c r="F17" s="276" t="s">
        <v>876</v>
      </c>
      <c r="G17" s="276">
        <v>1</v>
      </c>
      <c r="H17" s="204">
        <v>327</v>
      </c>
      <c r="I17" s="276">
        <v>40546</v>
      </c>
      <c r="J17" s="201"/>
      <c r="K17" s="201"/>
      <c r="L17" s="201"/>
      <c r="M17" s="201"/>
    </row>
    <row r="18" spans="1:13" ht="12.75">
      <c r="A18" s="203">
        <v>7</v>
      </c>
      <c r="B18" s="224" t="s">
        <v>837</v>
      </c>
      <c r="C18" s="201"/>
      <c r="D18" s="201"/>
      <c r="E18" s="201"/>
      <c r="F18" s="276" t="s">
        <v>876</v>
      </c>
      <c r="G18" s="276">
        <v>1</v>
      </c>
      <c r="H18" s="204">
        <v>84</v>
      </c>
      <c r="I18" s="276">
        <v>11198</v>
      </c>
      <c r="J18" s="201"/>
      <c r="K18" s="201"/>
      <c r="L18" s="201"/>
      <c r="M18" s="201"/>
    </row>
    <row r="19" spans="1:13" ht="12.75">
      <c r="A19" s="203">
        <v>8</v>
      </c>
      <c r="B19" s="224" t="s">
        <v>838</v>
      </c>
      <c r="C19" s="201"/>
      <c r="D19" s="201"/>
      <c r="E19" s="201"/>
      <c r="F19" s="201"/>
      <c r="G19" s="201"/>
      <c r="H19" s="201"/>
      <c r="I19" s="201"/>
      <c r="J19" s="201"/>
      <c r="K19" s="201"/>
      <c r="L19" s="201"/>
      <c r="M19" s="201"/>
    </row>
    <row r="20" spans="1:13" ht="12.75">
      <c r="A20" s="203">
        <v>9</v>
      </c>
      <c r="B20" s="224" t="s">
        <v>839</v>
      </c>
      <c r="C20" s="201"/>
      <c r="D20" s="201"/>
      <c r="E20" s="201"/>
      <c r="F20" s="201"/>
      <c r="G20" s="201"/>
      <c r="H20" s="201"/>
      <c r="I20" s="201"/>
      <c r="J20" s="201"/>
      <c r="K20" s="201"/>
      <c r="L20" s="201"/>
      <c r="M20" s="201"/>
    </row>
    <row r="21" spans="1:13" ht="12.75">
      <c r="A21" s="203">
        <v>10</v>
      </c>
      <c r="B21" s="224" t="s">
        <v>840</v>
      </c>
      <c r="C21" s="201"/>
      <c r="D21" s="201"/>
      <c r="E21" s="201"/>
      <c r="F21" s="201"/>
      <c r="G21" s="201"/>
      <c r="H21" s="201"/>
      <c r="I21" s="201"/>
      <c r="J21" s="201"/>
      <c r="K21" s="201"/>
      <c r="L21" s="201"/>
      <c r="M21" s="201"/>
    </row>
    <row r="22" spans="1:13" ht="12.75">
      <c r="A22" s="203">
        <v>11</v>
      </c>
      <c r="B22" s="224" t="s">
        <v>841</v>
      </c>
      <c r="C22" s="201"/>
      <c r="D22" s="201"/>
      <c r="E22" s="201"/>
      <c r="F22" s="201"/>
      <c r="G22" s="201"/>
      <c r="H22" s="201"/>
      <c r="I22" s="201"/>
      <c r="J22" s="201"/>
      <c r="K22" s="201"/>
      <c r="L22" s="201"/>
      <c r="M22" s="201"/>
    </row>
    <row r="23" spans="1:13" ht="12.75">
      <c r="A23" s="203">
        <v>12</v>
      </c>
      <c r="B23" s="224" t="s">
        <v>842</v>
      </c>
      <c r="C23" s="201"/>
      <c r="D23" s="201"/>
      <c r="E23" s="201"/>
      <c r="F23" s="201"/>
      <c r="G23" s="201"/>
      <c r="H23" s="201"/>
      <c r="I23" s="201"/>
      <c r="J23" s="201"/>
      <c r="K23" s="201"/>
      <c r="L23" s="201"/>
      <c r="M23" s="201"/>
    </row>
    <row r="24" spans="1:13" ht="12.75">
      <c r="A24" s="203">
        <v>13</v>
      </c>
      <c r="B24" s="224" t="s">
        <v>843</v>
      </c>
      <c r="C24" s="201"/>
      <c r="D24" s="201"/>
      <c r="E24" s="201"/>
      <c r="F24" s="201"/>
      <c r="G24" s="201"/>
      <c r="H24" s="201"/>
      <c r="I24" s="201"/>
      <c r="J24" s="201"/>
      <c r="K24" s="201"/>
      <c r="L24" s="201"/>
      <c r="M24" s="201"/>
    </row>
    <row r="25" spans="1:13" ht="12.75">
      <c r="A25" s="203">
        <v>14</v>
      </c>
      <c r="B25" s="224" t="s">
        <v>844</v>
      </c>
      <c r="C25" s="201"/>
      <c r="D25" s="201"/>
      <c r="E25" s="201"/>
      <c r="F25" s="201"/>
      <c r="G25" s="201"/>
      <c r="H25" s="201"/>
      <c r="I25" s="201"/>
      <c r="J25" s="201"/>
      <c r="K25" s="201"/>
      <c r="L25" s="201"/>
      <c r="M25" s="201"/>
    </row>
    <row r="26" spans="1:13" ht="12.75">
      <c r="A26" s="203">
        <v>15</v>
      </c>
      <c r="B26" s="224" t="s">
        <v>845</v>
      </c>
      <c r="C26" s="201"/>
      <c r="D26" s="201"/>
      <c r="E26" s="201"/>
      <c r="F26" s="201"/>
      <c r="G26" s="201"/>
      <c r="H26" s="201"/>
      <c r="I26" s="201"/>
      <c r="J26" s="201"/>
      <c r="K26" s="201"/>
      <c r="L26" s="201"/>
      <c r="M26" s="201"/>
    </row>
    <row r="27" spans="1:13" ht="12.75">
      <c r="A27" s="203">
        <v>16</v>
      </c>
      <c r="B27" s="224" t="s">
        <v>846</v>
      </c>
      <c r="C27" s="201"/>
      <c r="D27" s="201"/>
      <c r="E27" s="201"/>
      <c r="F27" s="201"/>
      <c r="G27" s="201"/>
      <c r="H27" s="201"/>
      <c r="I27" s="201"/>
      <c r="J27" s="201"/>
      <c r="K27" s="201"/>
      <c r="L27" s="201"/>
      <c r="M27" s="201"/>
    </row>
    <row r="28" spans="1:13" ht="12.75">
      <c r="A28" s="203">
        <v>17</v>
      </c>
      <c r="B28" s="224" t="s">
        <v>847</v>
      </c>
      <c r="C28" s="201"/>
      <c r="D28" s="201"/>
      <c r="E28" s="201"/>
      <c r="F28" s="201"/>
      <c r="G28" s="201"/>
      <c r="H28" s="201"/>
      <c r="I28" s="201"/>
      <c r="J28" s="201"/>
      <c r="K28" s="201"/>
      <c r="L28" s="201"/>
      <c r="M28" s="201"/>
    </row>
    <row r="29" spans="1:13" ht="12.75">
      <c r="A29" s="203">
        <v>18</v>
      </c>
      <c r="B29" s="224" t="s">
        <v>848</v>
      </c>
      <c r="C29" s="201"/>
      <c r="D29" s="201"/>
      <c r="E29" s="201"/>
      <c r="F29" s="201"/>
      <c r="G29" s="201"/>
      <c r="H29" s="201"/>
      <c r="I29" s="201"/>
      <c r="J29" s="201"/>
      <c r="K29" s="201"/>
      <c r="L29" s="201"/>
      <c r="M29" s="201"/>
    </row>
    <row r="30" spans="1:13" ht="12.75">
      <c r="A30" s="203">
        <v>19</v>
      </c>
      <c r="B30" s="224" t="s">
        <v>849</v>
      </c>
      <c r="C30" s="201"/>
      <c r="D30" s="201"/>
      <c r="E30" s="201"/>
      <c r="F30" s="201"/>
      <c r="G30" s="201"/>
      <c r="H30" s="201"/>
      <c r="I30" s="201"/>
      <c r="J30" s="201"/>
      <c r="K30" s="201"/>
      <c r="L30" s="201"/>
      <c r="M30" s="201"/>
    </row>
    <row r="31" spans="1:13" ht="12.75">
      <c r="A31" s="203">
        <v>20</v>
      </c>
      <c r="B31" s="224" t="s">
        <v>850</v>
      </c>
      <c r="C31" s="201"/>
      <c r="D31" s="201"/>
      <c r="E31" s="201"/>
      <c r="F31" s="201"/>
      <c r="G31" s="201"/>
      <c r="H31" s="201"/>
      <c r="I31" s="201"/>
      <c r="J31" s="201"/>
      <c r="K31" s="201"/>
      <c r="L31" s="201"/>
      <c r="M31" s="201"/>
    </row>
    <row r="32" spans="1:13" ht="12.75">
      <c r="A32" s="203">
        <v>21</v>
      </c>
      <c r="B32" s="224" t="s">
        <v>851</v>
      </c>
      <c r="C32" s="201"/>
      <c r="D32" s="201"/>
      <c r="E32" s="201"/>
      <c r="F32" s="201"/>
      <c r="G32" s="201"/>
      <c r="H32" s="201"/>
      <c r="I32" s="201"/>
      <c r="J32" s="201"/>
      <c r="K32" s="201"/>
      <c r="L32" s="201"/>
      <c r="M32" s="201"/>
    </row>
    <row r="33" spans="1:13" ht="12.75">
      <c r="A33" s="203">
        <v>22</v>
      </c>
      <c r="B33" s="224" t="s">
        <v>852</v>
      </c>
      <c r="C33" s="201"/>
      <c r="D33" s="201"/>
      <c r="E33" s="201"/>
      <c r="F33" s="201"/>
      <c r="G33" s="201"/>
      <c r="H33" s="201"/>
      <c r="I33" s="201"/>
      <c r="J33" s="201"/>
      <c r="K33" s="201"/>
      <c r="L33" s="201"/>
      <c r="M33" s="201"/>
    </row>
    <row r="34" spans="1:13" ht="12.75">
      <c r="A34" s="203">
        <v>23</v>
      </c>
      <c r="B34" s="224" t="s">
        <v>853</v>
      </c>
      <c r="C34" s="201"/>
      <c r="D34" s="201"/>
      <c r="E34" s="201"/>
      <c r="F34" s="201"/>
      <c r="G34" s="201"/>
      <c r="H34" s="201"/>
      <c r="I34" s="201"/>
      <c r="J34" s="201"/>
      <c r="K34" s="201"/>
      <c r="L34" s="201"/>
      <c r="M34" s="201"/>
    </row>
    <row r="35" spans="1:13" ht="12.75">
      <c r="A35" s="203">
        <v>24</v>
      </c>
      <c r="B35" s="224" t="s">
        <v>854</v>
      </c>
      <c r="C35" s="201"/>
      <c r="D35" s="201"/>
      <c r="E35" s="201"/>
      <c r="F35" s="201"/>
      <c r="G35" s="201"/>
      <c r="H35" s="201"/>
      <c r="I35" s="201"/>
      <c r="J35" s="201"/>
      <c r="K35" s="201"/>
      <c r="L35" s="201"/>
      <c r="M35" s="201"/>
    </row>
    <row r="36" spans="1:13" ht="12.75">
      <c r="A36" s="871" t="s">
        <v>13</v>
      </c>
      <c r="B36" s="872"/>
      <c r="C36" s="201"/>
      <c r="D36" s="201"/>
      <c r="E36" s="201"/>
      <c r="F36" s="201"/>
      <c r="G36" s="201"/>
      <c r="H36" s="201"/>
      <c r="I36" s="201"/>
      <c r="J36" s="201"/>
      <c r="K36" s="201"/>
      <c r="L36" s="201"/>
      <c r="M36" s="201"/>
    </row>
    <row r="37" spans="1:16" ht="12.75">
      <c r="A37" s="492"/>
      <c r="B37" s="492"/>
      <c r="C37" s="492"/>
      <c r="D37" s="492"/>
      <c r="E37" s="492"/>
      <c r="F37" s="121"/>
      <c r="G37" s="121"/>
      <c r="H37" s="121"/>
      <c r="I37" s="121"/>
      <c r="J37" s="121"/>
      <c r="K37" s="121"/>
      <c r="L37" s="121"/>
      <c r="M37" s="121"/>
      <c r="N37" s="121"/>
      <c r="O37" s="121"/>
      <c r="P37" s="121"/>
    </row>
    <row r="38" spans="1:16" ht="12.75">
      <c r="A38" s="121"/>
      <c r="B38" s="121"/>
      <c r="C38" s="121"/>
      <c r="D38" s="121"/>
      <c r="E38" s="121"/>
      <c r="F38" s="121"/>
      <c r="G38" s="121"/>
      <c r="H38" s="121"/>
      <c r="I38" s="121"/>
      <c r="J38" s="121"/>
      <c r="K38" s="121"/>
      <c r="L38" s="121"/>
      <c r="M38" s="121"/>
      <c r="N38" s="121"/>
      <c r="O38" s="121"/>
      <c r="P38" s="121"/>
    </row>
    <row r="39" spans="1:16" ht="12.75">
      <c r="A39" s="121"/>
      <c r="B39" s="121"/>
      <c r="C39" s="121"/>
      <c r="D39" s="121"/>
      <c r="E39" s="121"/>
      <c r="F39" s="121"/>
      <c r="G39" s="121"/>
      <c r="H39" s="121"/>
      <c r="I39" s="121"/>
      <c r="J39" s="121"/>
      <c r="K39" s="121"/>
      <c r="L39" s="121"/>
      <c r="M39" s="121"/>
      <c r="N39" s="121"/>
      <c r="O39" s="121"/>
      <c r="P39" s="121"/>
    </row>
    <row r="41" spans="1:16" ht="12.75">
      <c r="A41" s="354"/>
      <c r="B41" s="354"/>
      <c r="C41" s="354"/>
      <c r="D41" s="354"/>
      <c r="E41" s="354"/>
      <c r="F41" s="354"/>
      <c r="G41" s="354"/>
      <c r="H41" s="354"/>
      <c r="I41" s="354"/>
      <c r="J41" s="354"/>
      <c r="K41" s="354"/>
      <c r="L41" s="354"/>
      <c r="M41" s="493"/>
      <c r="N41" s="876"/>
      <c r="O41" s="876"/>
      <c r="P41" s="876"/>
    </row>
    <row r="42" spans="1:16" ht="12.75" customHeight="1">
      <c r="A42" s="559" t="s">
        <v>989</v>
      </c>
      <c r="B42" s="559"/>
      <c r="C42" s="559"/>
      <c r="G42" s="559" t="s">
        <v>990</v>
      </c>
      <c r="H42" s="559"/>
      <c r="J42" s="359"/>
      <c r="K42" s="359"/>
      <c r="L42" s="559" t="s">
        <v>996</v>
      </c>
      <c r="M42" s="559"/>
      <c r="N42" s="121"/>
      <c r="O42" s="121"/>
      <c r="P42" s="121"/>
    </row>
    <row r="43" spans="1:16" ht="15.75">
      <c r="A43" s="559" t="s">
        <v>991</v>
      </c>
      <c r="B43" s="559"/>
      <c r="C43" s="559"/>
      <c r="G43" s="559" t="s">
        <v>992</v>
      </c>
      <c r="H43" s="559"/>
      <c r="J43" s="359"/>
      <c r="K43" s="359"/>
      <c r="L43" s="559" t="s">
        <v>993</v>
      </c>
      <c r="M43" s="559"/>
      <c r="N43" s="103"/>
      <c r="O43" s="121"/>
      <c r="P43" s="121"/>
    </row>
    <row r="44" spans="1:16" ht="12.75">
      <c r="A44" s="559" t="s">
        <v>994</v>
      </c>
      <c r="B44" s="559"/>
      <c r="C44" s="559"/>
      <c r="G44" s="559" t="s">
        <v>995</v>
      </c>
      <c r="H44" s="559"/>
      <c r="J44" s="359"/>
      <c r="K44" s="359"/>
      <c r="L44" s="559" t="s">
        <v>995</v>
      </c>
      <c r="M44" s="559"/>
      <c r="N44" s="121"/>
      <c r="O44" s="121"/>
      <c r="P44" s="121"/>
    </row>
  </sheetData>
  <sheetProtection/>
  <mergeCells count="21">
    <mergeCell ref="G43:H43"/>
    <mergeCell ref="N41:P41"/>
    <mergeCell ref="C9:E9"/>
    <mergeCell ref="A36:B36"/>
    <mergeCell ref="A42:C42"/>
    <mergeCell ref="A44:C44"/>
    <mergeCell ref="L1:M1"/>
    <mergeCell ref="A2:M2"/>
    <mergeCell ref="A3:M3"/>
    <mergeCell ref="A5:M5"/>
    <mergeCell ref="A7:B7"/>
    <mergeCell ref="L42:M42"/>
    <mergeCell ref="A43:C43"/>
    <mergeCell ref="L44:M44"/>
    <mergeCell ref="A9:A10"/>
    <mergeCell ref="G44:H44"/>
    <mergeCell ref="F9:I9"/>
    <mergeCell ref="L43:M43"/>
    <mergeCell ref="J9:M9"/>
    <mergeCell ref="G42:H42"/>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48.xml><?xml version="1.0" encoding="utf-8"?>
<worksheet xmlns="http://schemas.openxmlformats.org/spreadsheetml/2006/main" xmlns:r="http://schemas.openxmlformats.org/officeDocument/2006/relationships">
  <sheetPr>
    <tabColor rgb="FF92D050"/>
    <pageSetUpPr fitToPage="1"/>
  </sheetPr>
  <dimension ref="A1:L44"/>
  <sheetViews>
    <sheetView view="pageBreakPreview" zoomScale="70" zoomScaleSheetLayoutView="70" zoomScalePageLayoutView="0" workbookViewId="0" topLeftCell="A1">
      <selection activeCell="W54" sqref="W54"/>
    </sheetView>
  </sheetViews>
  <sheetFormatPr defaultColWidth="9.140625" defaultRowHeight="12.75"/>
  <cols>
    <col min="1" max="1" width="5.8515625" style="12" customWidth="1"/>
    <col min="2" max="2" width="20.57421875" style="12" customWidth="1"/>
    <col min="3" max="5" width="9.140625" style="12" customWidth="1"/>
    <col min="6" max="6" width="13.421875" style="12" customWidth="1"/>
    <col min="7" max="7" width="14.8515625" style="12" customWidth="1"/>
    <col min="8" max="8" width="12.421875" style="12" customWidth="1"/>
    <col min="9" max="9" width="15.28125" style="12" customWidth="1"/>
    <col min="10" max="10" width="14.28125" style="12" customWidth="1"/>
    <col min="11" max="11" width="13.8515625" style="12" customWidth="1"/>
    <col min="12" max="12" width="9.140625" style="12" hidden="1" customWidth="1"/>
    <col min="13" max="16384" width="9.140625" style="12" customWidth="1"/>
  </cols>
  <sheetData>
    <row r="1" spans="10:11" ht="18">
      <c r="J1" s="887" t="s">
        <v>533</v>
      </c>
      <c r="K1" s="887"/>
    </row>
    <row r="2" spans="1:11" ht="21">
      <c r="A2" s="676" t="s">
        <v>0</v>
      </c>
      <c r="B2" s="676"/>
      <c r="C2" s="676"/>
      <c r="D2" s="676"/>
      <c r="E2" s="676"/>
      <c r="F2" s="676"/>
      <c r="G2" s="676"/>
      <c r="H2" s="676"/>
      <c r="I2" s="676"/>
      <c r="J2" s="676"/>
      <c r="K2" s="676"/>
    </row>
    <row r="3" spans="1:11" ht="21">
      <c r="A3" s="676" t="s">
        <v>645</v>
      </c>
      <c r="B3" s="676"/>
      <c r="C3" s="676"/>
      <c r="D3" s="676"/>
      <c r="E3" s="676"/>
      <c r="F3" s="676"/>
      <c r="G3" s="676"/>
      <c r="H3" s="676"/>
      <c r="I3" s="676"/>
      <c r="J3" s="676"/>
      <c r="K3" s="676"/>
    </row>
    <row r="4" spans="1:11" ht="15">
      <c r="A4" s="143"/>
      <c r="B4" s="143"/>
      <c r="C4" s="143"/>
      <c r="D4" s="143"/>
      <c r="E4" s="143"/>
      <c r="F4" s="143"/>
      <c r="G4" s="143"/>
      <c r="H4" s="143"/>
      <c r="I4" s="143"/>
      <c r="J4" s="143"/>
      <c r="K4" s="143"/>
    </row>
    <row r="5" spans="1:11" ht="15">
      <c r="A5" s="888" t="s">
        <v>532</v>
      </c>
      <c r="B5" s="888"/>
      <c r="C5" s="888"/>
      <c r="D5" s="888"/>
      <c r="E5" s="888"/>
      <c r="F5" s="888"/>
      <c r="G5" s="888"/>
      <c r="H5" s="888"/>
      <c r="I5" s="888"/>
      <c r="J5" s="888"/>
      <c r="K5" s="888"/>
    </row>
    <row r="6" spans="1:12" ht="15">
      <c r="A6" s="144" t="s">
        <v>262</v>
      </c>
      <c r="B6" s="144"/>
      <c r="C6" s="144"/>
      <c r="D6" s="144"/>
      <c r="E6" s="144"/>
      <c r="F6" s="144"/>
      <c r="G6" s="144"/>
      <c r="H6" s="144"/>
      <c r="I6" s="143"/>
      <c r="J6" s="889" t="s">
        <v>959</v>
      </c>
      <c r="K6" s="889"/>
      <c r="L6" s="889"/>
    </row>
    <row r="7" spans="1:11" ht="27.75" customHeight="1">
      <c r="A7" s="808" t="s">
        <v>1</v>
      </c>
      <c r="B7" s="808" t="s">
        <v>2</v>
      </c>
      <c r="C7" s="808" t="s">
        <v>306</v>
      </c>
      <c r="D7" s="808" t="s">
        <v>307</v>
      </c>
      <c r="E7" s="808"/>
      <c r="F7" s="808"/>
      <c r="G7" s="808"/>
      <c r="H7" s="808"/>
      <c r="I7" s="890" t="s">
        <v>308</v>
      </c>
      <c r="J7" s="891"/>
      <c r="K7" s="892"/>
    </row>
    <row r="8" spans="1:11" ht="90" customHeight="1">
      <c r="A8" s="808"/>
      <c r="B8" s="808"/>
      <c r="C8" s="808"/>
      <c r="D8" s="174" t="s">
        <v>309</v>
      </c>
      <c r="E8" s="174" t="s">
        <v>197</v>
      </c>
      <c r="F8" s="174" t="s">
        <v>453</v>
      </c>
      <c r="G8" s="174" t="s">
        <v>310</v>
      </c>
      <c r="H8" s="174" t="s">
        <v>423</v>
      </c>
      <c r="I8" s="174" t="s">
        <v>311</v>
      </c>
      <c r="J8" s="174" t="s">
        <v>312</v>
      </c>
      <c r="K8" s="174" t="s">
        <v>313</v>
      </c>
    </row>
    <row r="9" spans="1:11" ht="15">
      <c r="A9" s="147" t="s">
        <v>269</v>
      </c>
      <c r="B9" s="147" t="s">
        <v>270</v>
      </c>
      <c r="C9" s="147" t="s">
        <v>271</v>
      </c>
      <c r="D9" s="147" t="s">
        <v>272</v>
      </c>
      <c r="E9" s="147" t="s">
        <v>273</v>
      </c>
      <c r="F9" s="147" t="s">
        <v>274</v>
      </c>
      <c r="G9" s="147" t="s">
        <v>275</v>
      </c>
      <c r="H9" s="147" t="s">
        <v>276</v>
      </c>
      <c r="I9" s="147" t="s">
        <v>295</v>
      </c>
      <c r="J9" s="147" t="s">
        <v>296</v>
      </c>
      <c r="K9" s="147" t="s">
        <v>297</v>
      </c>
    </row>
    <row r="10" spans="1:11" ht="12.75">
      <c r="A10" s="14">
        <v>1</v>
      </c>
      <c r="B10" s="224" t="s">
        <v>831</v>
      </c>
      <c r="C10" s="15"/>
      <c r="D10" s="15"/>
      <c r="E10" s="15"/>
      <c r="F10" s="15"/>
      <c r="G10" s="15"/>
      <c r="H10" s="15"/>
      <c r="I10" s="15"/>
      <c r="J10" s="15"/>
      <c r="K10" s="15"/>
    </row>
    <row r="11" spans="1:11" ht="12.75">
      <c r="A11" s="14">
        <v>2</v>
      </c>
      <c r="B11" s="224" t="s">
        <v>832</v>
      </c>
      <c r="C11" s="15"/>
      <c r="D11" s="15"/>
      <c r="E11" s="15"/>
      <c r="F11" s="15"/>
      <c r="G11" s="15"/>
      <c r="H11" s="15"/>
      <c r="I11" s="15"/>
      <c r="J11" s="15"/>
      <c r="K11" s="15"/>
    </row>
    <row r="12" spans="1:11" ht="12.75">
      <c r="A12" s="14">
        <v>3</v>
      </c>
      <c r="B12" s="224" t="s">
        <v>833</v>
      </c>
      <c r="C12" s="15"/>
      <c r="D12" s="15"/>
      <c r="E12" s="15"/>
      <c r="F12" s="15"/>
      <c r="G12" s="15"/>
      <c r="H12" s="15"/>
      <c r="I12" s="15"/>
      <c r="J12" s="15"/>
      <c r="K12" s="15"/>
    </row>
    <row r="13" spans="1:11" ht="12.75">
      <c r="A13" s="14">
        <v>4</v>
      </c>
      <c r="B13" s="224" t="s">
        <v>834</v>
      </c>
      <c r="C13" s="15"/>
      <c r="D13" s="15"/>
      <c r="E13" s="15"/>
      <c r="F13" s="15"/>
      <c r="G13" s="15"/>
      <c r="H13" s="15"/>
      <c r="I13" s="15"/>
      <c r="J13" s="15"/>
      <c r="K13" s="15"/>
    </row>
    <row r="14" spans="1:11" ht="12.75">
      <c r="A14" s="14">
        <v>5</v>
      </c>
      <c r="B14" s="224" t="s">
        <v>835</v>
      </c>
      <c r="C14" s="15"/>
      <c r="D14" s="15"/>
      <c r="E14" s="15"/>
      <c r="F14" s="15"/>
      <c r="G14" s="15"/>
      <c r="H14" s="15"/>
      <c r="I14" s="15"/>
      <c r="J14" s="15"/>
      <c r="K14" s="15"/>
    </row>
    <row r="15" spans="1:11" ht="12.75">
      <c r="A15" s="14">
        <v>6</v>
      </c>
      <c r="B15" s="224" t="s">
        <v>836</v>
      </c>
      <c r="C15" s="277">
        <v>1</v>
      </c>
      <c r="D15" s="277">
        <v>327</v>
      </c>
      <c r="E15" s="278">
        <v>40546</v>
      </c>
      <c r="F15" s="15"/>
      <c r="G15" s="15">
        <v>687</v>
      </c>
      <c r="H15" s="15">
        <f>F15+G15</f>
        <v>687</v>
      </c>
      <c r="I15" s="15"/>
      <c r="J15" s="15"/>
      <c r="K15" s="15"/>
    </row>
    <row r="16" spans="1:11" ht="12.75">
      <c r="A16" s="14">
        <v>7</v>
      </c>
      <c r="B16" s="224" t="s">
        <v>837</v>
      </c>
      <c r="C16" s="277">
        <v>1</v>
      </c>
      <c r="D16" s="277">
        <v>84</v>
      </c>
      <c r="E16" s="278">
        <v>11198</v>
      </c>
      <c r="F16" s="15"/>
      <c r="G16" s="15">
        <v>182</v>
      </c>
      <c r="H16" s="15">
        <f>F16+G16</f>
        <v>182</v>
      </c>
      <c r="I16" s="15"/>
      <c r="J16" s="15"/>
      <c r="K16" s="15"/>
    </row>
    <row r="17" spans="1:11" ht="12.75">
      <c r="A17" s="14">
        <v>8</v>
      </c>
      <c r="B17" s="224" t="s">
        <v>838</v>
      </c>
      <c r="C17" s="15"/>
      <c r="D17" s="15"/>
      <c r="E17" s="15"/>
      <c r="F17" s="15"/>
      <c r="G17" s="15"/>
      <c r="H17" s="15"/>
      <c r="I17" s="15"/>
      <c r="J17" s="15"/>
      <c r="K17" s="15"/>
    </row>
    <row r="18" spans="1:11" ht="12.75">
      <c r="A18" s="14">
        <v>9</v>
      </c>
      <c r="B18" s="224" t="s">
        <v>839</v>
      </c>
      <c r="C18" s="15"/>
      <c r="D18" s="15"/>
      <c r="E18" s="15"/>
      <c r="F18" s="15"/>
      <c r="G18" s="15"/>
      <c r="H18" s="15"/>
      <c r="I18" s="15"/>
      <c r="J18" s="15"/>
      <c r="K18" s="15"/>
    </row>
    <row r="19" spans="1:11" ht="12.75">
      <c r="A19" s="14">
        <v>10</v>
      </c>
      <c r="B19" s="224" t="s">
        <v>840</v>
      </c>
      <c r="C19" s="15"/>
      <c r="D19" s="15"/>
      <c r="E19" s="15"/>
      <c r="F19" s="15"/>
      <c r="G19" s="15"/>
      <c r="H19" s="15"/>
      <c r="I19" s="15"/>
      <c r="J19" s="15"/>
      <c r="K19" s="15"/>
    </row>
    <row r="20" spans="1:11" ht="12.75">
      <c r="A20" s="14">
        <v>11</v>
      </c>
      <c r="B20" s="224" t="s">
        <v>841</v>
      </c>
      <c r="C20" s="15"/>
      <c r="D20" s="15"/>
      <c r="E20" s="15"/>
      <c r="F20" s="15"/>
      <c r="G20" s="15"/>
      <c r="H20" s="15"/>
      <c r="I20" s="15"/>
      <c r="J20" s="15"/>
      <c r="K20" s="15"/>
    </row>
    <row r="21" spans="1:11" ht="12.75">
      <c r="A21" s="14">
        <v>12</v>
      </c>
      <c r="B21" s="224" t="s">
        <v>842</v>
      </c>
      <c r="C21" s="15"/>
      <c r="D21" s="15"/>
      <c r="E21" s="15"/>
      <c r="F21" s="15"/>
      <c r="G21" s="15"/>
      <c r="H21" s="15"/>
      <c r="I21" s="15"/>
      <c r="J21" s="15"/>
      <c r="K21" s="15"/>
    </row>
    <row r="22" spans="1:11" ht="12.75">
      <c r="A22" s="14">
        <v>13</v>
      </c>
      <c r="B22" s="224" t="s">
        <v>843</v>
      </c>
      <c r="C22" s="15"/>
      <c r="D22" s="15"/>
      <c r="E22" s="15"/>
      <c r="F22" s="15"/>
      <c r="G22" s="15"/>
      <c r="H22" s="15"/>
      <c r="I22" s="15"/>
      <c r="J22" s="15"/>
      <c r="K22" s="15"/>
    </row>
    <row r="23" spans="1:11" ht="12.75">
      <c r="A23" s="14">
        <v>14</v>
      </c>
      <c r="B23" s="224" t="s">
        <v>844</v>
      </c>
      <c r="C23" s="15"/>
      <c r="D23" s="15"/>
      <c r="E23" s="15"/>
      <c r="F23" s="15"/>
      <c r="G23" s="15"/>
      <c r="H23" s="15"/>
      <c r="I23" s="15"/>
      <c r="J23" s="15"/>
      <c r="K23" s="15"/>
    </row>
    <row r="24" spans="1:11" ht="12.75">
      <c r="A24" s="14">
        <v>15</v>
      </c>
      <c r="B24" s="224" t="s">
        <v>845</v>
      </c>
      <c r="C24" s="15"/>
      <c r="D24" s="15"/>
      <c r="E24" s="15"/>
      <c r="F24" s="15"/>
      <c r="G24" s="15"/>
      <c r="H24" s="15"/>
      <c r="I24" s="15"/>
      <c r="J24" s="15"/>
      <c r="K24" s="15"/>
    </row>
    <row r="25" spans="1:11" ht="12.75">
      <c r="A25" s="14">
        <v>16</v>
      </c>
      <c r="B25" s="224" t="s">
        <v>846</v>
      </c>
      <c r="C25" s="15"/>
      <c r="D25" s="15"/>
      <c r="E25" s="15"/>
      <c r="F25" s="15"/>
      <c r="G25" s="15"/>
      <c r="H25" s="15"/>
      <c r="I25" s="15"/>
      <c r="J25" s="15"/>
      <c r="K25" s="15"/>
    </row>
    <row r="26" spans="1:11" ht="12.75">
      <c r="A26" s="14">
        <v>17</v>
      </c>
      <c r="B26" s="224" t="s">
        <v>847</v>
      </c>
      <c r="C26" s="15"/>
      <c r="D26" s="15"/>
      <c r="E26" s="15"/>
      <c r="F26" s="15"/>
      <c r="G26" s="15"/>
      <c r="H26" s="15"/>
      <c r="I26" s="15"/>
      <c r="J26" s="15"/>
      <c r="K26" s="15"/>
    </row>
    <row r="27" spans="1:11" ht="12.75">
      <c r="A27" s="14">
        <v>18</v>
      </c>
      <c r="B27" s="224" t="s">
        <v>848</v>
      </c>
      <c r="C27" s="15"/>
      <c r="D27" s="15"/>
      <c r="E27" s="15"/>
      <c r="F27" s="15"/>
      <c r="G27" s="15"/>
      <c r="H27" s="15"/>
      <c r="I27" s="15"/>
      <c r="J27" s="15"/>
      <c r="K27" s="15"/>
    </row>
    <row r="28" spans="1:11" ht="12.75">
      <c r="A28" s="14">
        <v>19</v>
      </c>
      <c r="B28" s="224" t="s">
        <v>849</v>
      </c>
      <c r="C28" s="15"/>
      <c r="D28" s="15"/>
      <c r="E28" s="15"/>
      <c r="F28" s="15"/>
      <c r="G28" s="15"/>
      <c r="H28" s="15"/>
      <c r="I28" s="15"/>
      <c r="J28" s="15"/>
      <c r="K28" s="15"/>
    </row>
    <row r="29" spans="1:11" ht="12.75">
      <c r="A29" s="14">
        <v>20</v>
      </c>
      <c r="B29" s="224" t="s">
        <v>850</v>
      </c>
      <c r="C29" s="15"/>
      <c r="D29" s="15"/>
      <c r="E29" s="15"/>
      <c r="F29" s="15"/>
      <c r="G29" s="15"/>
      <c r="H29" s="15"/>
      <c r="I29" s="15"/>
      <c r="J29" s="15"/>
      <c r="K29" s="15"/>
    </row>
    <row r="30" spans="1:11" ht="12.75">
      <c r="A30" s="14">
        <v>21</v>
      </c>
      <c r="B30" s="224" t="s">
        <v>851</v>
      </c>
      <c r="C30" s="15"/>
      <c r="D30" s="15"/>
      <c r="E30" s="15"/>
      <c r="F30" s="15"/>
      <c r="G30" s="15"/>
      <c r="H30" s="15"/>
      <c r="I30" s="15"/>
      <c r="J30" s="15"/>
      <c r="K30" s="15"/>
    </row>
    <row r="31" spans="1:11" ht="12.75">
      <c r="A31" s="14">
        <v>22</v>
      </c>
      <c r="B31" s="224" t="s">
        <v>852</v>
      </c>
      <c r="C31" s="15"/>
      <c r="D31" s="15"/>
      <c r="E31" s="15"/>
      <c r="F31" s="15"/>
      <c r="G31" s="15"/>
      <c r="H31" s="15"/>
      <c r="I31" s="15"/>
      <c r="J31" s="15"/>
      <c r="K31" s="15"/>
    </row>
    <row r="32" spans="1:11" ht="12.75">
      <c r="A32" s="14">
        <v>23</v>
      </c>
      <c r="B32" s="224" t="s">
        <v>853</v>
      </c>
      <c r="C32" s="15"/>
      <c r="D32" s="15"/>
      <c r="E32" s="15"/>
      <c r="F32" s="15"/>
      <c r="G32" s="15"/>
      <c r="H32" s="15"/>
      <c r="I32" s="15"/>
      <c r="J32" s="15"/>
      <c r="K32" s="15"/>
    </row>
    <row r="33" spans="1:11" ht="12.75">
      <c r="A33" s="14">
        <v>24</v>
      </c>
      <c r="B33" s="224" t="s">
        <v>854</v>
      </c>
      <c r="C33" s="15"/>
      <c r="D33" s="15"/>
      <c r="E33" s="15"/>
      <c r="F33" s="15"/>
      <c r="G33" s="15"/>
      <c r="H33" s="15"/>
      <c r="I33" s="15"/>
      <c r="J33" s="15"/>
      <c r="K33" s="15"/>
    </row>
    <row r="34" spans="1:11" ht="12.75">
      <c r="A34" s="560" t="s">
        <v>13</v>
      </c>
      <c r="B34" s="561"/>
      <c r="C34" s="15"/>
      <c r="D34" s="15"/>
      <c r="E34" s="15"/>
      <c r="F34" s="15"/>
      <c r="G34" s="15"/>
      <c r="H34" s="15"/>
      <c r="I34" s="15"/>
      <c r="J34" s="15"/>
      <c r="K34" s="15"/>
    </row>
    <row r="36" ht="12.75">
      <c r="A36" s="11" t="s">
        <v>454</v>
      </c>
    </row>
    <row r="38" spans="1:11" ht="12.75">
      <c r="A38" s="148"/>
      <c r="B38" s="148"/>
      <c r="C38" s="148"/>
      <c r="D38" s="148"/>
      <c r="I38" s="161"/>
      <c r="J38" s="161"/>
      <c r="K38" s="161"/>
    </row>
    <row r="39" spans="1:12" ht="12.75">
      <c r="A39" s="148"/>
      <c r="B39" s="148"/>
      <c r="C39" s="148"/>
      <c r="D39" s="148"/>
      <c r="I39" s="161"/>
      <c r="J39" s="161"/>
      <c r="K39" s="161"/>
      <c r="L39" s="161"/>
    </row>
    <row r="40" spans="1:12" ht="12.75">
      <c r="A40" s="148"/>
      <c r="B40" s="148"/>
      <c r="C40" s="148"/>
      <c r="D40" s="148"/>
      <c r="I40" s="161"/>
      <c r="J40" s="161"/>
      <c r="K40" s="161"/>
      <c r="L40" s="161"/>
    </row>
    <row r="41" spans="1:11" ht="12.75">
      <c r="A41" s="148"/>
      <c r="C41" s="148"/>
      <c r="D41" s="148"/>
      <c r="I41" s="153"/>
      <c r="J41" s="153"/>
      <c r="K41" s="153"/>
    </row>
    <row r="42" spans="1:11" ht="12.75">
      <c r="A42" s="559" t="s">
        <v>989</v>
      </c>
      <c r="B42" s="559"/>
      <c r="C42" s="559"/>
      <c r="F42" s="559" t="s">
        <v>990</v>
      </c>
      <c r="G42" s="559"/>
      <c r="I42" s="559" t="s">
        <v>996</v>
      </c>
      <c r="J42" s="559"/>
      <c r="K42" s="559"/>
    </row>
    <row r="43" spans="1:11" ht="12.75">
      <c r="A43" s="559" t="s">
        <v>991</v>
      </c>
      <c r="B43" s="559"/>
      <c r="C43" s="559"/>
      <c r="F43" s="559" t="s">
        <v>992</v>
      </c>
      <c r="G43" s="559"/>
      <c r="I43" s="559" t="s">
        <v>993</v>
      </c>
      <c r="J43" s="559" t="s">
        <v>993</v>
      </c>
      <c r="K43" s="559"/>
    </row>
    <row r="44" spans="1:11" ht="12.75">
      <c r="A44" s="559" t="s">
        <v>994</v>
      </c>
      <c r="B44" s="559"/>
      <c r="C44" s="559"/>
      <c r="F44" s="559" t="s">
        <v>995</v>
      </c>
      <c r="G44" s="559"/>
      <c r="I44" s="559" t="s">
        <v>995</v>
      </c>
      <c r="J44" s="559" t="s">
        <v>995</v>
      </c>
      <c r="K44" s="559"/>
    </row>
  </sheetData>
  <sheetProtection/>
  <mergeCells count="20">
    <mergeCell ref="A34:B34"/>
    <mergeCell ref="B7:B8"/>
    <mergeCell ref="C7:C8"/>
    <mergeCell ref="A42:C42"/>
    <mergeCell ref="F42:G42"/>
    <mergeCell ref="I42:K42"/>
    <mergeCell ref="J1:K1"/>
    <mergeCell ref="A3:K3"/>
    <mergeCell ref="A5:K5"/>
    <mergeCell ref="J6:L6"/>
    <mergeCell ref="A7:A8"/>
    <mergeCell ref="D7:H7"/>
    <mergeCell ref="I7:K7"/>
    <mergeCell ref="A2:K2"/>
    <mergeCell ref="A43:C43"/>
    <mergeCell ref="F43:G43"/>
    <mergeCell ref="I43:K43"/>
    <mergeCell ref="A44:C44"/>
    <mergeCell ref="F44:G44"/>
    <mergeCell ref="I44:K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worksheet>
</file>

<file path=xl/worksheets/sheet49.xml><?xml version="1.0" encoding="utf-8"?>
<worksheet xmlns="http://schemas.openxmlformats.org/spreadsheetml/2006/main" xmlns:r="http://schemas.openxmlformats.org/officeDocument/2006/relationships">
  <sheetPr>
    <tabColor rgb="FF92D050"/>
    <pageSetUpPr fitToPage="1"/>
  </sheetPr>
  <dimension ref="A1:O41"/>
  <sheetViews>
    <sheetView view="pageBreakPreview" zoomScale="70" zoomScaleSheetLayoutView="70" zoomScalePageLayoutView="0" workbookViewId="0" topLeftCell="A1">
      <selection activeCell="R26" sqref="R26"/>
    </sheetView>
  </sheetViews>
  <sheetFormatPr defaultColWidth="9.140625" defaultRowHeight="12.75"/>
  <cols>
    <col min="1" max="1" width="7.8515625" style="12" customWidth="1"/>
    <col min="2" max="2" width="18.28125" style="12" customWidth="1"/>
    <col min="3" max="3" width="9.140625" style="12" customWidth="1"/>
    <col min="4" max="4" width="11.140625" style="12" customWidth="1"/>
    <col min="5" max="6" width="9.140625" style="12" customWidth="1"/>
    <col min="7" max="7" width="12.28125" style="12" customWidth="1"/>
    <col min="8" max="8" width="11.57421875" style="12" customWidth="1"/>
    <col min="9" max="12" width="10.421875" style="12" customWidth="1"/>
    <col min="13" max="13" width="11.00390625" style="12" customWidth="1"/>
    <col min="14" max="14" width="10.00390625" style="12" customWidth="1"/>
    <col min="15" max="15" width="11.8515625" style="12" customWidth="1"/>
    <col min="16" max="16384" width="9.140625" style="12" customWidth="1"/>
  </cols>
  <sheetData>
    <row r="1" ht="12.75">
      <c r="O1" s="465" t="s">
        <v>535</v>
      </c>
    </row>
    <row r="2" spans="1:15" ht="18">
      <c r="A2" s="772" t="s">
        <v>0</v>
      </c>
      <c r="B2" s="772"/>
      <c r="C2" s="772"/>
      <c r="D2" s="772"/>
      <c r="E2" s="772"/>
      <c r="F2" s="772"/>
      <c r="G2" s="772"/>
      <c r="H2" s="772"/>
      <c r="I2" s="772"/>
      <c r="J2" s="772"/>
      <c r="K2" s="772"/>
      <c r="L2" s="772"/>
      <c r="M2" s="772"/>
      <c r="N2" s="772"/>
      <c r="O2" s="772"/>
    </row>
    <row r="3" spans="1:15" ht="21">
      <c r="A3" s="676" t="s">
        <v>645</v>
      </c>
      <c r="B3" s="676"/>
      <c r="C3" s="676"/>
      <c r="D3" s="676"/>
      <c r="E3" s="676"/>
      <c r="F3" s="676"/>
      <c r="G3" s="676"/>
      <c r="H3" s="676"/>
      <c r="I3" s="676"/>
      <c r="J3" s="676"/>
      <c r="K3" s="676"/>
      <c r="L3" s="676"/>
      <c r="M3" s="676"/>
      <c r="N3" s="676"/>
      <c r="O3" s="676"/>
    </row>
    <row r="4" spans="1:11" ht="15">
      <c r="A4" s="143"/>
      <c r="B4" s="143"/>
      <c r="C4" s="143"/>
      <c r="D4" s="143"/>
      <c r="E4" s="143"/>
      <c r="F4" s="143"/>
      <c r="G4" s="143"/>
      <c r="H4" s="143"/>
      <c r="I4" s="143"/>
      <c r="J4" s="143"/>
      <c r="K4" s="143"/>
    </row>
    <row r="5" spans="1:15" ht="18">
      <c r="A5" s="772" t="s">
        <v>534</v>
      </c>
      <c r="B5" s="772"/>
      <c r="C5" s="772"/>
      <c r="D5" s="772"/>
      <c r="E5" s="772"/>
      <c r="F5" s="772"/>
      <c r="G5" s="772"/>
      <c r="H5" s="772"/>
      <c r="I5" s="772"/>
      <c r="J5" s="772"/>
      <c r="K5" s="772"/>
      <c r="L5" s="772"/>
      <c r="M5" s="772"/>
      <c r="N5" s="772"/>
      <c r="O5" s="772"/>
    </row>
    <row r="6" spans="1:15" ht="15">
      <c r="A6" s="144" t="s">
        <v>262</v>
      </c>
      <c r="B6" s="144"/>
      <c r="C6" s="144"/>
      <c r="D6" s="144"/>
      <c r="E6" s="144"/>
      <c r="F6" s="144"/>
      <c r="G6" s="144"/>
      <c r="H6" s="144"/>
      <c r="I6" s="144"/>
      <c r="J6" s="144"/>
      <c r="K6" s="143"/>
      <c r="M6" s="889" t="s">
        <v>959</v>
      </c>
      <c r="N6" s="889"/>
      <c r="O6" s="889"/>
    </row>
    <row r="7" spans="1:15" ht="44.25" customHeight="1">
      <c r="A7" s="808" t="s">
        <v>1</v>
      </c>
      <c r="B7" s="808" t="s">
        <v>2</v>
      </c>
      <c r="C7" s="808" t="s">
        <v>314</v>
      </c>
      <c r="D7" s="854" t="s">
        <v>315</v>
      </c>
      <c r="E7" s="854" t="s">
        <v>316</v>
      </c>
      <c r="F7" s="854" t="s">
        <v>317</v>
      </c>
      <c r="G7" s="854" t="s">
        <v>318</v>
      </c>
      <c r="H7" s="808" t="s">
        <v>319</v>
      </c>
      <c r="I7" s="808"/>
      <c r="J7" s="808" t="s">
        <v>320</v>
      </c>
      <c r="K7" s="808"/>
      <c r="L7" s="808" t="s">
        <v>321</v>
      </c>
      <c r="M7" s="808"/>
      <c r="N7" s="808" t="s">
        <v>322</v>
      </c>
      <c r="O7" s="808"/>
    </row>
    <row r="8" spans="1:15" ht="54" customHeight="1">
      <c r="A8" s="808"/>
      <c r="B8" s="808"/>
      <c r="C8" s="808"/>
      <c r="D8" s="855"/>
      <c r="E8" s="855"/>
      <c r="F8" s="855"/>
      <c r="G8" s="855"/>
      <c r="H8" s="174" t="s">
        <v>323</v>
      </c>
      <c r="I8" s="174" t="s">
        <v>324</v>
      </c>
      <c r="J8" s="174" t="s">
        <v>323</v>
      </c>
      <c r="K8" s="174" t="s">
        <v>324</v>
      </c>
      <c r="L8" s="174" t="s">
        <v>323</v>
      </c>
      <c r="M8" s="174" t="s">
        <v>324</v>
      </c>
      <c r="N8" s="174" t="s">
        <v>323</v>
      </c>
      <c r="O8" s="174" t="s">
        <v>324</v>
      </c>
    </row>
    <row r="9" spans="1:15" ht="15">
      <c r="A9" s="265" t="s">
        <v>269</v>
      </c>
      <c r="B9" s="265" t="s">
        <v>270</v>
      </c>
      <c r="C9" s="265" t="s">
        <v>271</v>
      </c>
      <c r="D9" s="265" t="s">
        <v>272</v>
      </c>
      <c r="E9" s="265" t="s">
        <v>273</v>
      </c>
      <c r="F9" s="265" t="s">
        <v>274</v>
      </c>
      <c r="G9" s="265" t="s">
        <v>275</v>
      </c>
      <c r="H9" s="265" t="s">
        <v>276</v>
      </c>
      <c r="I9" s="265" t="s">
        <v>295</v>
      </c>
      <c r="J9" s="265" t="s">
        <v>296</v>
      </c>
      <c r="K9" s="265" t="s">
        <v>297</v>
      </c>
      <c r="L9" s="265" t="s">
        <v>325</v>
      </c>
      <c r="M9" s="265" t="s">
        <v>326</v>
      </c>
      <c r="N9" s="265" t="s">
        <v>327</v>
      </c>
      <c r="O9" s="265" t="s">
        <v>328</v>
      </c>
    </row>
    <row r="10" spans="1:15" ht="15">
      <c r="A10" s="265">
        <v>1</v>
      </c>
      <c r="B10" s="224" t="s">
        <v>831</v>
      </c>
      <c r="C10" s="147"/>
      <c r="D10" s="147"/>
      <c r="E10" s="147"/>
      <c r="F10" s="147"/>
      <c r="G10" s="147"/>
      <c r="H10" s="147"/>
      <c r="I10" s="147"/>
      <c r="J10" s="147"/>
      <c r="K10" s="147"/>
      <c r="L10" s="147"/>
      <c r="M10" s="147"/>
      <c r="N10" s="147"/>
      <c r="O10" s="147"/>
    </row>
    <row r="11" spans="1:15" ht="15">
      <c r="A11" s="265">
        <v>2</v>
      </c>
      <c r="B11" s="224" t="s">
        <v>832</v>
      </c>
      <c r="C11" s="147"/>
      <c r="D11" s="147"/>
      <c r="E11" s="147"/>
      <c r="F11" s="147"/>
      <c r="G11" s="147"/>
      <c r="H11" s="147"/>
      <c r="I11" s="147"/>
      <c r="J11" s="147"/>
      <c r="K11" s="147"/>
      <c r="L11" s="147"/>
      <c r="M11" s="147"/>
      <c r="N11" s="147"/>
      <c r="O11" s="147"/>
    </row>
    <row r="12" spans="1:15" ht="15">
      <c r="A12" s="265">
        <v>3</v>
      </c>
      <c r="B12" s="224" t="s">
        <v>833</v>
      </c>
      <c r="C12" s="147"/>
      <c r="D12" s="147"/>
      <c r="E12" s="147"/>
      <c r="F12" s="147"/>
      <c r="G12" s="147"/>
      <c r="H12" s="147"/>
      <c r="I12" s="147"/>
      <c r="J12" s="147"/>
      <c r="K12" s="147"/>
      <c r="L12" s="147"/>
      <c r="M12" s="147"/>
      <c r="N12" s="147"/>
      <c r="O12" s="147"/>
    </row>
    <row r="13" spans="1:15" ht="15">
      <c r="A13" s="265">
        <v>4</v>
      </c>
      <c r="B13" s="224" t="s">
        <v>834</v>
      </c>
      <c r="C13" s="147"/>
      <c r="D13" s="147"/>
      <c r="E13" s="147"/>
      <c r="F13" s="147"/>
      <c r="G13" s="147"/>
      <c r="H13" s="147"/>
      <c r="I13" s="147"/>
      <c r="J13" s="147"/>
      <c r="K13" s="147"/>
      <c r="L13" s="147"/>
      <c r="M13" s="147"/>
      <c r="N13" s="147"/>
      <c r="O13" s="147"/>
    </row>
    <row r="14" spans="1:15" ht="15">
      <c r="A14" s="265">
        <v>5</v>
      </c>
      <c r="B14" s="224" t="s">
        <v>835</v>
      </c>
      <c r="C14" s="147"/>
      <c r="D14" s="147"/>
      <c r="E14" s="147"/>
      <c r="F14" s="147"/>
      <c r="G14" s="147"/>
      <c r="H14" s="147"/>
      <c r="I14" s="147"/>
      <c r="J14" s="147"/>
      <c r="K14" s="147"/>
      <c r="L14" s="147"/>
      <c r="M14" s="147"/>
      <c r="N14" s="147"/>
      <c r="O14" s="147"/>
    </row>
    <row r="15" spans="1:15" ht="15">
      <c r="A15" s="265">
        <v>6</v>
      </c>
      <c r="B15" s="224" t="s">
        <v>836</v>
      </c>
      <c r="C15" s="265">
        <v>1</v>
      </c>
      <c r="D15" s="174" t="s">
        <v>876</v>
      </c>
      <c r="E15" s="265">
        <v>327</v>
      </c>
      <c r="F15" s="265">
        <v>40546</v>
      </c>
      <c r="G15" s="174" t="s">
        <v>877</v>
      </c>
      <c r="H15" s="547">
        <f>F15*246*0.0001</f>
        <v>997.4316</v>
      </c>
      <c r="I15" s="547">
        <f>H15</f>
        <v>997.4316</v>
      </c>
      <c r="J15" s="547">
        <f>F15*246*4.13/100000</f>
        <v>411.93925079999997</v>
      </c>
      <c r="K15" s="547">
        <f>J15</f>
        <v>411.93925079999997</v>
      </c>
      <c r="L15" s="265">
        <v>0</v>
      </c>
      <c r="M15" s="265">
        <v>0</v>
      </c>
      <c r="N15" s="265">
        <v>0</v>
      </c>
      <c r="O15" s="265">
        <v>0</v>
      </c>
    </row>
    <row r="16" spans="1:15" ht="15">
      <c r="A16" s="265">
        <v>7</v>
      </c>
      <c r="B16" s="224" t="s">
        <v>837</v>
      </c>
      <c r="C16" s="265">
        <v>1</v>
      </c>
      <c r="D16" s="174" t="s">
        <v>876</v>
      </c>
      <c r="E16" s="265">
        <v>84</v>
      </c>
      <c r="F16" s="265">
        <v>11198</v>
      </c>
      <c r="G16" s="174" t="s">
        <v>878</v>
      </c>
      <c r="H16" s="547">
        <f>F16*0.0001*246</f>
        <v>275.47080000000005</v>
      </c>
      <c r="I16" s="547">
        <f>H16</f>
        <v>275.47080000000005</v>
      </c>
      <c r="J16" s="547">
        <f>F16*4.13*246/100000</f>
        <v>113.7694404</v>
      </c>
      <c r="K16" s="547">
        <f>J16</f>
        <v>113.7694404</v>
      </c>
      <c r="L16" s="265">
        <v>0</v>
      </c>
      <c r="M16" s="265">
        <v>0</v>
      </c>
      <c r="N16" s="265">
        <v>0</v>
      </c>
      <c r="O16" s="265">
        <v>0</v>
      </c>
    </row>
    <row r="17" spans="1:15" ht="15">
      <c r="A17" s="265">
        <v>8</v>
      </c>
      <c r="B17" s="224" t="s">
        <v>838</v>
      </c>
      <c r="C17" s="147"/>
      <c r="D17" s="147"/>
      <c r="E17" s="147"/>
      <c r="F17" s="147"/>
      <c r="G17" s="147"/>
      <c r="H17" s="147"/>
      <c r="I17" s="147"/>
      <c r="J17" s="147"/>
      <c r="K17" s="147"/>
      <c r="L17" s="147"/>
      <c r="M17" s="147"/>
      <c r="N17" s="147"/>
      <c r="O17" s="147"/>
    </row>
    <row r="18" spans="1:15" ht="15">
      <c r="A18" s="265">
        <v>9</v>
      </c>
      <c r="B18" s="224" t="s">
        <v>839</v>
      </c>
      <c r="C18" s="147"/>
      <c r="D18" s="147"/>
      <c r="E18" s="147"/>
      <c r="F18" s="147"/>
      <c r="G18" s="147"/>
      <c r="H18" s="147"/>
      <c r="I18" s="147"/>
      <c r="J18" s="147"/>
      <c r="K18" s="147"/>
      <c r="L18" s="147"/>
      <c r="M18" s="147"/>
      <c r="N18" s="147"/>
      <c r="O18" s="147"/>
    </row>
    <row r="19" spans="1:15" ht="15">
      <c r="A19" s="265">
        <v>10</v>
      </c>
      <c r="B19" s="224" t="s">
        <v>840</v>
      </c>
      <c r="C19" s="147"/>
      <c r="D19" s="147"/>
      <c r="E19" s="147"/>
      <c r="F19" s="147"/>
      <c r="G19" s="147"/>
      <c r="H19" s="147"/>
      <c r="I19" s="147"/>
      <c r="J19" s="147"/>
      <c r="K19" s="147"/>
      <c r="L19" s="147"/>
      <c r="M19" s="147"/>
      <c r="N19" s="147"/>
      <c r="O19" s="147"/>
    </row>
    <row r="20" spans="1:15" ht="15">
      <c r="A20" s="265">
        <v>11</v>
      </c>
      <c r="B20" s="224" t="s">
        <v>841</v>
      </c>
      <c r="C20" s="147"/>
      <c r="D20" s="147"/>
      <c r="E20" s="147"/>
      <c r="F20" s="147"/>
      <c r="G20" s="147"/>
      <c r="H20" s="147"/>
      <c r="I20" s="147"/>
      <c r="J20" s="147"/>
      <c r="K20" s="147"/>
      <c r="L20" s="147"/>
      <c r="M20" s="147"/>
      <c r="N20" s="147"/>
      <c r="O20" s="147"/>
    </row>
    <row r="21" spans="1:15" ht="15">
      <c r="A21" s="265">
        <v>12</v>
      </c>
      <c r="B21" s="224" t="s">
        <v>842</v>
      </c>
      <c r="C21" s="147"/>
      <c r="D21" s="147"/>
      <c r="E21" s="147"/>
      <c r="F21" s="147"/>
      <c r="G21" s="147"/>
      <c r="H21" s="147"/>
      <c r="I21" s="147"/>
      <c r="J21" s="147"/>
      <c r="K21" s="147"/>
      <c r="L21" s="147"/>
      <c r="M21" s="147"/>
      <c r="N21" s="147"/>
      <c r="O21" s="147"/>
    </row>
    <row r="22" spans="1:15" ht="15">
      <c r="A22" s="265">
        <v>13</v>
      </c>
      <c r="B22" s="224" t="s">
        <v>843</v>
      </c>
      <c r="C22" s="147"/>
      <c r="D22" s="147"/>
      <c r="E22" s="147"/>
      <c r="F22" s="147"/>
      <c r="G22" s="147"/>
      <c r="H22" s="147"/>
      <c r="I22" s="147"/>
      <c r="J22" s="147"/>
      <c r="K22" s="147"/>
      <c r="L22" s="147"/>
      <c r="M22" s="147"/>
      <c r="N22" s="147"/>
      <c r="O22" s="147"/>
    </row>
    <row r="23" spans="1:15" ht="15">
      <c r="A23" s="265">
        <v>14</v>
      </c>
      <c r="B23" s="224" t="s">
        <v>844</v>
      </c>
      <c r="C23" s="147"/>
      <c r="D23" s="147"/>
      <c r="E23" s="147"/>
      <c r="F23" s="147"/>
      <c r="G23" s="147"/>
      <c r="H23" s="147"/>
      <c r="I23" s="147"/>
      <c r="J23" s="147"/>
      <c r="K23" s="147"/>
      <c r="L23" s="147"/>
      <c r="M23" s="147"/>
      <c r="N23" s="147"/>
      <c r="O23" s="147"/>
    </row>
    <row r="24" spans="1:15" ht="15">
      <c r="A24" s="265">
        <v>15</v>
      </c>
      <c r="B24" s="224" t="s">
        <v>845</v>
      </c>
      <c r="C24" s="147"/>
      <c r="D24" s="147"/>
      <c r="E24" s="147"/>
      <c r="F24" s="147"/>
      <c r="G24" s="147"/>
      <c r="H24" s="147"/>
      <c r="I24" s="147"/>
      <c r="J24" s="147"/>
      <c r="K24" s="147"/>
      <c r="L24" s="147"/>
      <c r="M24" s="147"/>
      <c r="N24" s="147"/>
      <c r="O24" s="147"/>
    </row>
    <row r="25" spans="1:15" ht="15">
      <c r="A25" s="265">
        <v>16</v>
      </c>
      <c r="B25" s="224" t="s">
        <v>846</v>
      </c>
      <c r="C25" s="147"/>
      <c r="D25" s="147"/>
      <c r="E25" s="147"/>
      <c r="F25" s="147"/>
      <c r="G25" s="147"/>
      <c r="H25" s="147"/>
      <c r="I25" s="147"/>
      <c r="J25" s="147"/>
      <c r="K25" s="147"/>
      <c r="L25" s="147"/>
      <c r="M25" s="147"/>
      <c r="N25" s="147"/>
      <c r="O25" s="147"/>
    </row>
    <row r="26" spans="1:15" ht="15">
      <c r="A26" s="265">
        <v>17</v>
      </c>
      <c r="B26" s="224" t="s">
        <v>847</v>
      </c>
      <c r="C26" s="147"/>
      <c r="D26" s="147"/>
      <c r="E26" s="147"/>
      <c r="F26" s="147"/>
      <c r="G26" s="147"/>
      <c r="H26" s="147"/>
      <c r="I26" s="147"/>
      <c r="J26" s="147"/>
      <c r="K26" s="147"/>
      <c r="L26" s="147"/>
      <c r="M26" s="147"/>
      <c r="N26" s="147"/>
      <c r="O26" s="147"/>
    </row>
    <row r="27" spans="1:15" ht="15">
      <c r="A27" s="265">
        <v>18</v>
      </c>
      <c r="B27" s="224" t="s">
        <v>848</v>
      </c>
      <c r="C27" s="147"/>
      <c r="D27" s="147"/>
      <c r="E27" s="147"/>
      <c r="F27" s="147"/>
      <c r="G27" s="147"/>
      <c r="H27" s="147"/>
      <c r="I27" s="147"/>
      <c r="J27" s="147"/>
      <c r="K27" s="147"/>
      <c r="L27" s="147"/>
      <c r="M27" s="147"/>
      <c r="N27" s="147"/>
      <c r="O27" s="147"/>
    </row>
    <row r="28" spans="1:15" ht="15">
      <c r="A28" s="265">
        <v>19</v>
      </c>
      <c r="B28" s="224" t="s">
        <v>849</v>
      </c>
      <c r="C28" s="147"/>
      <c r="D28" s="147"/>
      <c r="E28" s="147"/>
      <c r="F28" s="147"/>
      <c r="G28" s="147"/>
      <c r="H28" s="147"/>
      <c r="I28" s="147"/>
      <c r="J28" s="147"/>
      <c r="K28" s="147"/>
      <c r="L28" s="147"/>
      <c r="M28" s="147"/>
      <c r="N28" s="147"/>
      <c r="O28" s="147"/>
    </row>
    <row r="29" spans="1:15" ht="15">
      <c r="A29" s="265">
        <v>20</v>
      </c>
      <c r="B29" s="224" t="s">
        <v>850</v>
      </c>
      <c r="C29" s="147"/>
      <c r="D29" s="147"/>
      <c r="E29" s="147"/>
      <c r="F29" s="147"/>
      <c r="G29" s="147"/>
      <c r="H29" s="147"/>
      <c r="I29" s="147"/>
      <c r="J29" s="147"/>
      <c r="K29" s="147"/>
      <c r="L29" s="147"/>
      <c r="M29" s="147"/>
      <c r="N29" s="147"/>
      <c r="O29" s="147"/>
    </row>
    <row r="30" spans="1:15" ht="15">
      <c r="A30" s="265">
        <v>21</v>
      </c>
      <c r="B30" s="224" t="s">
        <v>851</v>
      </c>
      <c r="C30" s="15"/>
      <c r="D30" s="15"/>
      <c r="E30" s="15"/>
      <c r="F30" s="15"/>
      <c r="G30" s="15"/>
      <c r="H30" s="15"/>
      <c r="I30" s="15"/>
      <c r="J30" s="15"/>
      <c r="K30" s="15"/>
      <c r="L30" s="15"/>
      <c r="M30" s="15"/>
      <c r="N30" s="15"/>
      <c r="O30" s="15"/>
    </row>
    <row r="31" spans="1:15" ht="15">
      <c r="A31" s="265">
        <v>22</v>
      </c>
      <c r="B31" s="224" t="s">
        <v>852</v>
      </c>
      <c r="C31" s="15"/>
      <c r="D31" s="15"/>
      <c r="E31" s="15"/>
      <c r="F31" s="15"/>
      <c r="G31" s="15"/>
      <c r="H31" s="15"/>
      <c r="I31" s="15"/>
      <c r="J31" s="15"/>
      <c r="K31" s="15"/>
      <c r="L31" s="15"/>
      <c r="M31" s="15"/>
      <c r="N31" s="15"/>
      <c r="O31" s="15"/>
    </row>
    <row r="32" spans="1:15" ht="15">
      <c r="A32" s="265">
        <v>23</v>
      </c>
      <c r="B32" s="224" t="s">
        <v>853</v>
      </c>
      <c r="C32" s="15"/>
      <c r="D32" s="15"/>
      <c r="E32" s="15"/>
      <c r="F32" s="15"/>
      <c r="G32" s="15"/>
      <c r="H32" s="15"/>
      <c r="I32" s="15"/>
      <c r="J32" s="15"/>
      <c r="K32" s="15"/>
      <c r="L32" s="15"/>
      <c r="M32" s="15"/>
      <c r="N32" s="15"/>
      <c r="O32" s="15"/>
    </row>
    <row r="33" spans="1:15" ht="15">
      <c r="A33" s="265">
        <v>24</v>
      </c>
      <c r="B33" s="224" t="s">
        <v>854</v>
      </c>
      <c r="C33" s="15"/>
      <c r="D33" s="15"/>
      <c r="E33" s="15"/>
      <c r="F33" s="15"/>
      <c r="G33" s="15"/>
      <c r="H33" s="15"/>
      <c r="I33" s="15"/>
      <c r="J33" s="15"/>
      <c r="K33" s="15"/>
      <c r="L33" s="15"/>
      <c r="M33" s="15"/>
      <c r="N33" s="15"/>
      <c r="O33" s="15"/>
    </row>
    <row r="34" spans="1:15" ht="12.75">
      <c r="A34" s="856"/>
      <c r="B34" s="857"/>
      <c r="C34" s="15"/>
      <c r="D34" s="15"/>
      <c r="E34" s="15"/>
      <c r="F34" s="15"/>
      <c r="G34" s="15"/>
      <c r="H34" s="15"/>
      <c r="I34" s="15"/>
      <c r="J34" s="15"/>
      <c r="K34" s="15"/>
      <c r="L34" s="15"/>
      <c r="M34" s="15"/>
      <c r="N34" s="15"/>
      <c r="O34" s="15"/>
    </row>
    <row r="37" spans="1:15" ht="12.75">
      <c r="A37" s="148"/>
      <c r="B37" s="148"/>
      <c r="C37" s="148"/>
      <c r="D37" s="148"/>
      <c r="L37" s="161"/>
      <c r="M37" s="161"/>
      <c r="N37" s="161"/>
      <c r="O37" s="161"/>
    </row>
    <row r="38" spans="1:15" ht="12.75">
      <c r="A38" s="148"/>
      <c r="B38" s="148"/>
      <c r="C38" s="148"/>
      <c r="D38" s="148"/>
      <c r="L38" s="161"/>
      <c r="M38" s="161"/>
      <c r="N38" s="161"/>
      <c r="O38" s="161"/>
    </row>
    <row r="39" spans="1:15" ht="12.75" customHeight="1">
      <c r="A39" s="148"/>
      <c r="B39" s="559" t="s">
        <v>989</v>
      </c>
      <c r="C39" s="559"/>
      <c r="D39" s="559"/>
      <c r="H39" s="559" t="s">
        <v>990</v>
      </c>
      <c r="I39" s="559"/>
      <c r="K39" s="359"/>
      <c r="L39" s="359"/>
      <c r="M39" s="559" t="s">
        <v>996</v>
      </c>
      <c r="N39" s="559"/>
      <c r="O39" s="559"/>
    </row>
    <row r="40" spans="1:15" ht="12.75">
      <c r="A40" s="148"/>
      <c r="B40" s="559" t="s">
        <v>991</v>
      </c>
      <c r="C40" s="559"/>
      <c r="D40" s="559"/>
      <c r="H40" s="559" t="s">
        <v>992</v>
      </c>
      <c r="I40" s="559"/>
      <c r="K40" s="359"/>
      <c r="L40" s="359"/>
      <c r="M40" s="559" t="s">
        <v>993</v>
      </c>
      <c r="N40" s="559"/>
      <c r="O40" s="559"/>
    </row>
    <row r="41" spans="2:15" ht="12.75">
      <c r="B41" s="559" t="s">
        <v>994</v>
      </c>
      <c r="C41" s="559"/>
      <c r="D41" s="559"/>
      <c r="H41" s="559" t="s">
        <v>995</v>
      </c>
      <c r="I41" s="559"/>
      <c r="K41" s="359"/>
      <c r="L41" s="359"/>
      <c r="M41" s="559" t="s">
        <v>995</v>
      </c>
      <c r="N41" s="559"/>
      <c r="O41" s="559"/>
    </row>
  </sheetData>
  <sheetProtection/>
  <mergeCells count="25">
    <mergeCell ref="A34:B34"/>
    <mergeCell ref="A3:O3"/>
    <mergeCell ref="M6:O6"/>
    <mergeCell ref="A7:A8"/>
    <mergeCell ref="B7:B8"/>
    <mergeCell ref="C7:C8"/>
    <mergeCell ref="D7:D8"/>
    <mergeCell ref="E7:E8"/>
    <mergeCell ref="A5:O5"/>
    <mergeCell ref="F7:F8"/>
    <mergeCell ref="G7:G8"/>
    <mergeCell ref="A2:O2"/>
    <mergeCell ref="H7:I7"/>
    <mergeCell ref="J7:K7"/>
    <mergeCell ref="L7:M7"/>
    <mergeCell ref="N7:O7"/>
    <mergeCell ref="B41:D41"/>
    <mergeCell ref="H41:I41"/>
    <mergeCell ref="M39:O39"/>
    <mergeCell ref="M40:O40"/>
    <mergeCell ref="M41:O41"/>
    <mergeCell ref="B39:D39"/>
    <mergeCell ref="H39:I39"/>
    <mergeCell ref="B40:D40"/>
    <mergeCell ref="H40:I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IR33"/>
  <sheetViews>
    <sheetView view="pageBreakPreview" zoomScale="85" zoomScaleNormal="80" zoomScaleSheetLayoutView="85" zoomScalePageLayoutView="0" workbookViewId="0" topLeftCell="C1">
      <selection activeCell="K42" sqref="K42"/>
    </sheetView>
  </sheetViews>
  <sheetFormatPr defaultColWidth="9.140625" defaultRowHeight="12.75"/>
  <cols>
    <col min="1" max="1" width="4.8515625" style="12" customWidth="1"/>
    <col min="2" max="2" width="19.57421875" style="12" customWidth="1"/>
    <col min="3" max="6" width="9.7109375" style="12" bestFit="1" customWidth="1"/>
    <col min="7" max="7" width="9.8515625" style="12" customWidth="1"/>
    <col min="8" max="9" width="8.7109375" style="12" customWidth="1"/>
    <col min="10" max="10" width="9.7109375" style="12" bestFit="1" customWidth="1"/>
    <col min="11" max="13" width="8.7109375" style="12" customWidth="1"/>
    <col min="14" max="15" width="9.7109375" style="12" bestFit="1" customWidth="1"/>
    <col min="16" max="16" width="8.7109375" style="12" customWidth="1"/>
    <col min="17" max="18" width="9.7109375" style="12" bestFit="1" customWidth="1"/>
    <col min="19" max="19" width="10.57421875" style="12" customWidth="1"/>
    <col min="20" max="20" width="9.8515625" style="12" customWidth="1"/>
    <col min="21" max="21" width="8.7109375" style="12" customWidth="1"/>
    <col min="22" max="22" width="9.7109375" style="12" customWidth="1"/>
    <col min="23" max="27" width="9.140625" style="12" customWidth="1"/>
    <col min="28" max="28" width="11.00390625" style="12" customWidth="1"/>
    <col min="29" max="30" width="8.8515625" style="12" hidden="1" customWidth="1"/>
    <col min="31" max="16384" width="9.140625" style="12" customWidth="1"/>
  </cols>
  <sheetData>
    <row r="2" spans="7:20" ht="12.75">
      <c r="G2" s="594"/>
      <c r="H2" s="594"/>
      <c r="I2" s="594"/>
      <c r="J2" s="594"/>
      <c r="K2" s="594"/>
      <c r="L2" s="594"/>
      <c r="M2" s="594"/>
      <c r="N2" s="594"/>
      <c r="O2" s="594"/>
      <c r="P2" s="1"/>
      <c r="Q2" s="1"/>
      <c r="R2" s="1"/>
      <c r="T2" s="41" t="s">
        <v>53</v>
      </c>
    </row>
    <row r="3" spans="1:22" ht="15.75">
      <c r="A3" s="590" t="s">
        <v>51</v>
      </c>
      <c r="B3" s="590"/>
      <c r="C3" s="590"/>
      <c r="D3" s="590"/>
      <c r="E3" s="590"/>
      <c r="F3" s="590"/>
      <c r="G3" s="590"/>
      <c r="H3" s="590"/>
      <c r="I3" s="590"/>
      <c r="J3" s="590"/>
      <c r="K3" s="590"/>
      <c r="L3" s="590"/>
      <c r="M3" s="590"/>
      <c r="N3" s="590"/>
      <c r="O3" s="590"/>
      <c r="P3" s="590"/>
      <c r="Q3" s="590"/>
      <c r="R3" s="590"/>
      <c r="S3" s="590"/>
      <c r="T3" s="590"/>
      <c r="U3" s="590"/>
      <c r="V3" s="590"/>
    </row>
    <row r="4" spans="1:252" ht="15.75">
      <c r="A4" s="590" t="s">
        <v>645</v>
      </c>
      <c r="B4" s="590"/>
      <c r="C4" s="590"/>
      <c r="D4" s="590"/>
      <c r="E4" s="590"/>
      <c r="F4" s="590"/>
      <c r="G4" s="590"/>
      <c r="H4" s="590"/>
      <c r="I4" s="590"/>
      <c r="J4" s="590"/>
      <c r="K4" s="590"/>
      <c r="L4" s="590"/>
      <c r="M4" s="590"/>
      <c r="N4" s="590"/>
      <c r="O4" s="590"/>
      <c r="P4" s="590"/>
      <c r="Q4" s="590"/>
      <c r="R4" s="590"/>
      <c r="S4" s="590"/>
      <c r="T4" s="590"/>
      <c r="U4" s="590"/>
      <c r="V4" s="59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row>
    <row r="6" spans="1:22" ht="15.75">
      <c r="A6" s="592" t="s">
        <v>647</v>
      </c>
      <c r="B6" s="592"/>
      <c r="C6" s="592"/>
      <c r="D6" s="592"/>
      <c r="E6" s="592"/>
      <c r="F6" s="592"/>
      <c r="G6" s="592"/>
      <c r="H6" s="592"/>
      <c r="I6" s="592"/>
      <c r="J6" s="592"/>
      <c r="K6" s="592"/>
      <c r="L6" s="592"/>
      <c r="M6" s="592"/>
      <c r="N6" s="592"/>
      <c r="O6" s="592"/>
      <c r="P6" s="592"/>
      <c r="Q6" s="592"/>
      <c r="R6" s="592"/>
      <c r="S6" s="592"/>
      <c r="T6" s="592"/>
      <c r="U6" s="592"/>
      <c r="V6" s="592"/>
    </row>
    <row r="7" spans="1:21" ht="15.75">
      <c r="A7" s="40"/>
      <c r="B7" s="40"/>
      <c r="C7" s="40"/>
      <c r="D7" s="40"/>
      <c r="E7" s="40"/>
      <c r="F7" s="40"/>
      <c r="G7" s="40"/>
      <c r="H7" s="40"/>
      <c r="I7" s="40"/>
      <c r="J7" s="40"/>
      <c r="K7" s="40"/>
      <c r="L7" s="40"/>
      <c r="M7" s="40"/>
      <c r="N7" s="40"/>
      <c r="O7" s="40"/>
      <c r="P7" s="40"/>
      <c r="Q7" s="40"/>
      <c r="R7" s="40"/>
      <c r="S7" s="40"/>
      <c r="T7" s="40"/>
      <c r="U7" s="40"/>
    </row>
    <row r="8" spans="1:21" ht="15.75">
      <c r="A8" s="593" t="s">
        <v>956</v>
      </c>
      <c r="B8" s="593"/>
      <c r="C8" s="593"/>
      <c r="D8" s="25"/>
      <c r="E8" s="25"/>
      <c r="F8" s="25"/>
      <c r="G8" s="40"/>
      <c r="H8" s="40"/>
      <c r="I8" s="40"/>
      <c r="J8" s="40"/>
      <c r="K8" s="40"/>
      <c r="L8" s="40"/>
      <c r="M8" s="40"/>
      <c r="N8" s="40"/>
      <c r="O8" s="40"/>
      <c r="P8" s="40"/>
      <c r="Q8" s="40"/>
      <c r="R8" s="40"/>
      <c r="S8" s="40"/>
      <c r="T8" s="40"/>
      <c r="U8" s="40"/>
    </row>
    <row r="10" spans="21:30" ht="15">
      <c r="U10" s="638" t="s">
        <v>466</v>
      </c>
      <c r="V10" s="638"/>
      <c r="AB10" s="585"/>
      <c r="AC10" s="585"/>
      <c r="AD10" s="585"/>
    </row>
    <row r="11" spans="1:252" s="544" customFormat="1" ht="12.75" customHeight="1">
      <c r="A11" s="627" t="s">
        <v>1</v>
      </c>
      <c r="B11" s="627" t="s">
        <v>104</v>
      </c>
      <c r="C11" s="629" t="s">
        <v>822</v>
      </c>
      <c r="D11" s="630"/>
      <c r="E11" s="630"/>
      <c r="F11" s="631"/>
      <c r="G11" s="629" t="s">
        <v>981</v>
      </c>
      <c r="H11" s="630"/>
      <c r="I11" s="630"/>
      <c r="J11" s="630"/>
      <c r="K11" s="630"/>
      <c r="L11" s="630"/>
      <c r="M11" s="630"/>
      <c r="N11" s="630"/>
      <c r="O11" s="630"/>
      <c r="P11" s="630"/>
      <c r="Q11" s="630"/>
      <c r="R11" s="631"/>
      <c r="S11" s="639" t="s">
        <v>253</v>
      </c>
      <c r="T11" s="640"/>
      <c r="U11" s="640"/>
      <c r="V11" s="640"/>
      <c r="W11" s="211"/>
      <c r="X11" s="211"/>
      <c r="Y11" s="211"/>
      <c r="Z11" s="211"/>
      <c r="AA11" s="211"/>
      <c r="AB11" s="211"/>
      <c r="AC11" s="211"/>
      <c r="AD11" s="211"/>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row>
    <row r="12" spans="1:252" s="544" customFormat="1" ht="12.75">
      <c r="A12" s="628"/>
      <c r="B12" s="628"/>
      <c r="C12" s="632"/>
      <c r="D12" s="633"/>
      <c r="E12" s="633"/>
      <c r="F12" s="634"/>
      <c r="G12" s="635" t="s">
        <v>171</v>
      </c>
      <c r="H12" s="636"/>
      <c r="I12" s="636"/>
      <c r="J12" s="637"/>
      <c r="K12" s="635" t="s">
        <v>172</v>
      </c>
      <c r="L12" s="636"/>
      <c r="M12" s="636"/>
      <c r="N12" s="637"/>
      <c r="O12" s="583" t="s">
        <v>13</v>
      </c>
      <c r="P12" s="583"/>
      <c r="Q12" s="583"/>
      <c r="R12" s="583"/>
      <c r="S12" s="641"/>
      <c r="T12" s="642"/>
      <c r="U12" s="642"/>
      <c r="V12" s="642"/>
      <c r="W12" s="211"/>
      <c r="X12" s="211"/>
      <c r="Y12" s="211"/>
      <c r="Z12" s="211"/>
      <c r="AA12" s="211"/>
      <c r="AB12" s="211"/>
      <c r="AC12" s="211"/>
      <c r="AD12" s="211"/>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row>
    <row r="13" spans="1:252" s="544" customFormat="1" ht="43.5" customHeight="1">
      <c r="A13" s="213"/>
      <c r="B13" s="213"/>
      <c r="C13" s="123" t="s">
        <v>254</v>
      </c>
      <c r="D13" s="123" t="s">
        <v>255</v>
      </c>
      <c r="E13" s="123" t="s">
        <v>256</v>
      </c>
      <c r="F13" s="123" t="s">
        <v>83</v>
      </c>
      <c r="G13" s="123" t="s">
        <v>254</v>
      </c>
      <c r="H13" s="123" t="s">
        <v>255</v>
      </c>
      <c r="I13" s="123" t="s">
        <v>256</v>
      </c>
      <c r="J13" s="123" t="s">
        <v>13</v>
      </c>
      <c r="K13" s="123" t="s">
        <v>254</v>
      </c>
      <c r="L13" s="123" t="s">
        <v>255</v>
      </c>
      <c r="M13" s="123" t="s">
        <v>256</v>
      </c>
      <c r="N13" s="123" t="s">
        <v>83</v>
      </c>
      <c r="O13" s="123" t="s">
        <v>254</v>
      </c>
      <c r="P13" s="123" t="s">
        <v>255</v>
      </c>
      <c r="Q13" s="123" t="s">
        <v>256</v>
      </c>
      <c r="R13" s="123" t="s">
        <v>13</v>
      </c>
      <c r="S13" s="206" t="s">
        <v>462</v>
      </c>
      <c r="T13" s="206" t="s">
        <v>463</v>
      </c>
      <c r="U13" s="206" t="s">
        <v>464</v>
      </c>
      <c r="V13" s="216" t="s">
        <v>465</v>
      </c>
      <c r="W13" s="211"/>
      <c r="X13" s="211"/>
      <c r="Y13" s="211"/>
      <c r="Z13" s="211"/>
      <c r="AA13" s="211"/>
      <c r="AB13" s="211"/>
      <c r="AC13" s="211"/>
      <c r="AD13" s="211"/>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row>
    <row r="14" spans="1:252" s="544" customFormat="1" ht="12.75">
      <c r="A14" s="123">
        <v>1</v>
      </c>
      <c r="B14" s="207">
        <v>2</v>
      </c>
      <c r="C14" s="123">
        <v>3</v>
      </c>
      <c r="D14" s="123">
        <v>4</v>
      </c>
      <c r="E14" s="207">
        <v>5</v>
      </c>
      <c r="F14" s="123">
        <v>6</v>
      </c>
      <c r="G14" s="123">
        <v>7</v>
      </c>
      <c r="H14" s="207">
        <v>8</v>
      </c>
      <c r="I14" s="123">
        <v>9</v>
      </c>
      <c r="J14" s="123">
        <v>10</v>
      </c>
      <c r="K14" s="207">
        <v>11</v>
      </c>
      <c r="L14" s="123">
        <v>12</v>
      </c>
      <c r="M14" s="123">
        <v>13</v>
      </c>
      <c r="N14" s="207">
        <v>14</v>
      </c>
      <c r="O14" s="123">
        <v>15</v>
      </c>
      <c r="P14" s="123">
        <v>16</v>
      </c>
      <c r="Q14" s="207">
        <v>17</v>
      </c>
      <c r="R14" s="123">
        <v>18</v>
      </c>
      <c r="S14" s="123">
        <v>19</v>
      </c>
      <c r="T14" s="207">
        <v>20</v>
      </c>
      <c r="U14" s="123">
        <v>21</v>
      </c>
      <c r="V14" s="123">
        <v>22</v>
      </c>
      <c r="W14" s="214"/>
      <c r="X14" s="214"/>
      <c r="Y14" s="214"/>
      <c r="Z14" s="214"/>
      <c r="AA14" s="214"/>
      <c r="AB14" s="214"/>
      <c r="AC14" s="214"/>
      <c r="AD14" s="214"/>
      <c r="AE14" s="214"/>
      <c r="AF14" s="214"/>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row>
    <row r="15" spans="1:32" ht="12.75">
      <c r="A15" s="646" t="s">
        <v>240</v>
      </c>
      <c r="B15" s="647"/>
      <c r="C15" s="647"/>
      <c r="D15" s="647"/>
      <c r="E15" s="647"/>
      <c r="F15" s="647"/>
      <c r="G15" s="647"/>
      <c r="H15" s="647"/>
      <c r="I15" s="647"/>
      <c r="J15" s="647"/>
      <c r="K15" s="647"/>
      <c r="L15" s="647"/>
      <c r="M15" s="647"/>
      <c r="N15" s="647"/>
      <c r="O15" s="647"/>
      <c r="P15" s="647"/>
      <c r="Q15" s="647"/>
      <c r="R15" s="647"/>
      <c r="S15" s="647"/>
      <c r="T15" s="647"/>
      <c r="U15" s="647"/>
      <c r="V15" s="648"/>
      <c r="W15" s="95"/>
      <c r="X15" s="95"/>
      <c r="Y15" s="95"/>
      <c r="Z15" s="95"/>
      <c r="AA15" s="95"/>
      <c r="AB15" s="95"/>
      <c r="AC15" s="95"/>
      <c r="AD15" s="95"/>
      <c r="AE15" s="95"/>
      <c r="AF15" s="95"/>
    </row>
    <row r="16" spans="1:32" ht="12.75">
      <c r="A16" s="3">
        <v>1</v>
      </c>
      <c r="B16" s="124" t="s">
        <v>178</v>
      </c>
      <c r="C16" s="643">
        <f>15578.83+7800</f>
        <v>23378.83</v>
      </c>
      <c r="D16" s="643">
        <f>4420.52+2800</f>
        <v>7220.52</v>
      </c>
      <c r="E16" s="643">
        <f>7398.43+8225.61</f>
        <v>15624.04</v>
      </c>
      <c r="F16" s="644">
        <f>C16+D16+E16</f>
        <v>46223.39</v>
      </c>
      <c r="G16" s="645">
        <v>14334.91</v>
      </c>
      <c r="H16" s="645">
        <v>3713.648</v>
      </c>
      <c r="I16" s="645">
        <v>7180.072</v>
      </c>
      <c r="J16" s="645">
        <f>SUM(G16:I16)</f>
        <v>25228.63</v>
      </c>
      <c r="K16" s="645">
        <v>5949.54</v>
      </c>
      <c r="L16" s="645">
        <v>2271.05</v>
      </c>
      <c r="M16" s="645">
        <v>6316.065</v>
      </c>
      <c r="N16" s="645">
        <f>SUM(K16:M16)</f>
        <v>14536.654999999999</v>
      </c>
      <c r="O16" s="645">
        <f>G16+K16</f>
        <v>20284.45</v>
      </c>
      <c r="P16" s="645">
        <f>H16+L16</f>
        <v>5984.698</v>
      </c>
      <c r="Q16" s="645">
        <f>I16+M16</f>
        <v>13496.136999999999</v>
      </c>
      <c r="R16" s="645">
        <f>SUM(O16:Q16)</f>
        <v>39765.285</v>
      </c>
      <c r="S16" s="644">
        <f>C16-O16</f>
        <v>3094.380000000001</v>
      </c>
      <c r="T16" s="644">
        <f>D16-P16</f>
        <v>1235.8220000000001</v>
      </c>
      <c r="U16" s="644">
        <f>E16-Q16</f>
        <v>2127.903000000002</v>
      </c>
      <c r="V16" s="644">
        <f>SUM(S16:U16)</f>
        <v>6458.105000000003</v>
      </c>
      <c r="W16" s="95"/>
      <c r="X16" s="95"/>
      <c r="Y16" s="95"/>
      <c r="Z16" s="95"/>
      <c r="AA16" s="95"/>
      <c r="AB16" s="95"/>
      <c r="AC16" s="95"/>
      <c r="AD16" s="95"/>
      <c r="AE16" s="95"/>
      <c r="AF16" s="95"/>
    </row>
    <row r="17" spans="1:28" ht="12.75">
      <c r="A17" s="3">
        <v>2</v>
      </c>
      <c r="B17" s="125" t="s">
        <v>123</v>
      </c>
      <c r="C17" s="643">
        <v>22678.83</v>
      </c>
      <c r="D17" s="643">
        <v>7020.52</v>
      </c>
      <c r="E17" s="643">
        <v>15309.15</v>
      </c>
      <c r="F17" s="644"/>
      <c r="G17" s="645"/>
      <c r="H17" s="645"/>
      <c r="I17" s="645"/>
      <c r="J17" s="645"/>
      <c r="K17" s="645"/>
      <c r="L17" s="645"/>
      <c r="M17" s="645"/>
      <c r="N17" s="645"/>
      <c r="O17" s="645"/>
      <c r="P17" s="645"/>
      <c r="Q17" s="645"/>
      <c r="R17" s="645"/>
      <c r="S17" s="644"/>
      <c r="T17" s="644"/>
      <c r="U17" s="644"/>
      <c r="V17" s="644"/>
      <c r="Y17" s="593"/>
      <c r="Z17" s="593"/>
      <c r="AA17" s="593"/>
      <c r="AB17" s="593"/>
    </row>
    <row r="18" spans="1:22" ht="25.5">
      <c r="A18" s="3">
        <v>3</v>
      </c>
      <c r="B18" s="124" t="s">
        <v>124</v>
      </c>
      <c r="C18" s="643">
        <v>22678.83</v>
      </c>
      <c r="D18" s="643">
        <v>7020.52</v>
      </c>
      <c r="E18" s="643">
        <v>15309.15</v>
      </c>
      <c r="F18" s="644"/>
      <c r="G18" s="645"/>
      <c r="H18" s="645"/>
      <c r="I18" s="645"/>
      <c r="J18" s="645"/>
      <c r="K18" s="645"/>
      <c r="L18" s="645"/>
      <c r="M18" s="645"/>
      <c r="N18" s="645"/>
      <c r="O18" s="645"/>
      <c r="P18" s="645"/>
      <c r="Q18" s="645"/>
      <c r="R18" s="645"/>
      <c r="S18" s="644"/>
      <c r="T18" s="644"/>
      <c r="U18" s="644"/>
      <c r="V18" s="644"/>
    </row>
    <row r="19" spans="1:22" ht="12.75">
      <c r="A19" s="3">
        <v>4</v>
      </c>
      <c r="B19" s="125" t="s">
        <v>125</v>
      </c>
      <c r="C19" s="643">
        <v>22678.83</v>
      </c>
      <c r="D19" s="643">
        <v>7020.52</v>
      </c>
      <c r="E19" s="643">
        <v>15309.15</v>
      </c>
      <c r="F19" s="644"/>
      <c r="G19" s="645"/>
      <c r="H19" s="645"/>
      <c r="I19" s="645"/>
      <c r="J19" s="645"/>
      <c r="K19" s="645"/>
      <c r="L19" s="645"/>
      <c r="M19" s="645"/>
      <c r="N19" s="645"/>
      <c r="O19" s="645"/>
      <c r="P19" s="645"/>
      <c r="Q19" s="645"/>
      <c r="R19" s="645"/>
      <c r="S19" s="644"/>
      <c r="T19" s="644"/>
      <c r="U19" s="644"/>
      <c r="V19" s="644"/>
    </row>
    <row r="20" spans="1:22" ht="25.5">
      <c r="A20" s="3">
        <v>5</v>
      </c>
      <c r="B20" s="124" t="s">
        <v>126</v>
      </c>
      <c r="C20" s="217">
        <f>2500.13+1500.48</f>
        <v>4000.61</v>
      </c>
      <c r="D20" s="217">
        <f>1000.52+1000.01</f>
        <v>2000.53</v>
      </c>
      <c r="E20" s="217">
        <f>1601.57+1814.4</f>
        <v>3415.9700000000003</v>
      </c>
      <c r="F20" s="218">
        <f>C20+D20+E20</f>
        <v>9417.11</v>
      </c>
      <c r="G20" s="218">
        <v>2500.13</v>
      </c>
      <c r="H20" s="218">
        <v>751.302</v>
      </c>
      <c r="I20" s="218">
        <v>1452.588</v>
      </c>
      <c r="J20" s="218">
        <f>SUM(G20:I20)</f>
        <v>4704.02</v>
      </c>
      <c r="K20" s="218">
        <v>1384.43</v>
      </c>
      <c r="L20" s="218">
        <v>769.535</v>
      </c>
      <c r="M20" s="218">
        <v>1588.95</v>
      </c>
      <c r="N20" s="218">
        <f>SUM(K20:M20)</f>
        <v>3742.915</v>
      </c>
      <c r="O20" s="218">
        <f>G20+K20</f>
        <v>3884.5600000000004</v>
      </c>
      <c r="P20" s="218">
        <f>H20+L20</f>
        <v>1520.837</v>
      </c>
      <c r="Q20" s="218">
        <f>I20+M20</f>
        <v>3041.538</v>
      </c>
      <c r="R20" s="218">
        <f>J20+N20</f>
        <v>8446.935000000001</v>
      </c>
      <c r="S20" s="218">
        <f>C20-O20</f>
        <v>116.04999999999973</v>
      </c>
      <c r="T20" s="218">
        <f>D20-P20</f>
        <v>479.693</v>
      </c>
      <c r="U20" s="218">
        <f>E20-Q20</f>
        <v>374.43200000000024</v>
      </c>
      <c r="V20" s="218">
        <f>SUM(S20:U20)</f>
        <v>970.175</v>
      </c>
    </row>
    <row r="21" spans="1:22" s="11" customFormat="1" ht="12.75">
      <c r="A21" s="654" t="s">
        <v>83</v>
      </c>
      <c r="B21" s="655"/>
      <c r="C21" s="219">
        <f>C16+C20</f>
        <v>27379.440000000002</v>
      </c>
      <c r="D21" s="219">
        <f>D16+D20</f>
        <v>9221.050000000001</v>
      </c>
      <c r="E21" s="219">
        <f>E16+E20</f>
        <v>19040.010000000002</v>
      </c>
      <c r="F21" s="219">
        <f>F16+F20</f>
        <v>55640.5</v>
      </c>
      <c r="G21" s="219">
        <f aca="true" t="shared" si="0" ref="G21:V21">SUM(G16:G20)</f>
        <v>16835.04</v>
      </c>
      <c r="H21" s="219">
        <f t="shared" si="0"/>
        <v>4464.95</v>
      </c>
      <c r="I21" s="219">
        <f t="shared" si="0"/>
        <v>8632.66</v>
      </c>
      <c r="J21" s="219">
        <f t="shared" si="0"/>
        <v>29932.65</v>
      </c>
      <c r="K21" s="219">
        <f t="shared" si="0"/>
        <v>7333.97</v>
      </c>
      <c r="L21" s="219">
        <f t="shared" si="0"/>
        <v>3040.585</v>
      </c>
      <c r="M21" s="219">
        <f t="shared" si="0"/>
        <v>7905.014999999999</v>
      </c>
      <c r="N21" s="219">
        <f t="shared" si="0"/>
        <v>18279.57</v>
      </c>
      <c r="O21" s="219">
        <f t="shared" si="0"/>
        <v>24169.010000000002</v>
      </c>
      <c r="P21" s="219">
        <f t="shared" si="0"/>
        <v>7505.535</v>
      </c>
      <c r="Q21" s="219">
        <f t="shared" si="0"/>
        <v>16537.675</v>
      </c>
      <c r="R21" s="219">
        <f t="shared" si="0"/>
        <v>48212.22</v>
      </c>
      <c r="S21" s="219">
        <f t="shared" si="0"/>
        <v>3210.4300000000007</v>
      </c>
      <c r="T21" s="219">
        <f t="shared" si="0"/>
        <v>1715.515</v>
      </c>
      <c r="U21" s="219">
        <f t="shared" si="0"/>
        <v>2502.3350000000023</v>
      </c>
      <c r="V21" s="219">
        <f t="shared" si="0"/>
        <v>7428.280000000003</v>
      </c>
    </row>
    <row r="22" spans="1:22" ht="12.75">
      <c r="A22" s="646" t="s">
        <v>241</v>
      </c>
      <c r="B22" s="647"/>
      <c r="C22" s="647"/>
      <c r="D22" s="647"/>
      <c r="E22" s="647"/>
      <c r="F22" s="647"/>
      <c r="G22" s="647"/>
      <c r="H22" s="647"/>
      <c r="I22" s="647"/>
      <c r="J22" s="647"/>
      <c r="K22" s="647"/>
      <c r="L22" s="647"/>
      <c r="M22" s="647"/>
      <c r="N22" s="647"/>
      <c r="O22" s="647"/>
      <c r="P22" s="647"/>
      <c r="Q22" s="647"/>
      <c r="R22" s="647"/>
      <c r="S22" s="647"/>
      <c r="T22" s="647"/>
      <c r="U22" s="647"/>
      <c r="V22" s="648"/>
    </row>
    <row r="23" spans="1:22" ht="12.75">
      <c r="A23" s="3">
        <v>6</v>
      </c>
      <c r="B23" s="124" t="s">
        <v>180</v>
      </c>
      <c r="C23" s="649">
        <v>299.52</v>
      </c>
      <c r="D23" s="649">
        <v>279.99</v>
      </c>
      <c r="E23" s="649">
        <v>205.6</v>
      </c>
      <c r="F23" s="649">
        <f>SUM(C23:E23)</f>
        <v>785.11</v>
      </c>
      <c r="G23" s="649">
        <v>0</v>
      </c>
      <c r="H23" s="649">
        <v>0</v>
      </c>
      <c r="I23" s="649">
        <v>0</v>
      </c>
      <c r="J23" s="649">
        <v>0</v>
      </c>
      <c r="K23" s="649">
        <v>0</v>
      </c>
      <c r="L23" s="649">
        <v>0</v>
      </c>
      <c r="M23" s="649">
        <v>0</v>
      </c>
      <c r="N23" s="649">
        <v>0</v>
      </c>
      <c r="O23" s="649">
        <v>0</v>
      </c>
      <c r="P23" s="649">
        <v>0</v>
      </c>
      <c r="Q23" s="649">
        <v>0</v>
      </c>
      <c r="R23" s="649">
        <v>0</v>
      </c>
      <c r="S23" s="649">
        <f>C23-O23</f>
        <v>299.52</v>
      </c>
      <c r="T23" s="649">
        <f>D23-P23</f>
        <v>279.99</v>
      </c>
      <c r="U23" s="649">
        <f>E23-Q23</f>
        <v>205.6</v>
      </c>
      <c r="V23" s="649">
        <f>SUM(S23:U23)</f>
        <v>785.11</v>
      </c>
    </row>
    <row r="24" spans="1:22" ht="12.75">
      <c r="A24" s="3">
        <v>7</v>
      </c>
      <c r="B24" s="125" t="s">
        <v>128</v>
      </c>
      <c r="C24" s="650"/>
      <c r="D24" s="650"/>
      <c r="E24" s="650"/>
      <c r="F24" s="650"/>
      <c r="G24" s="650"/>
      <c r="H24" s="650"/>
      <c r="I24" s="650"/>
      <c r="J24" s="650"/>
      <c r="K24" s="650"/>
      <c r="L24" s="650"/>
      <c r="M24" s="650"/>
      <c r="N24" s="650"/>
      <c r="O24" s="650"/>
      <c r="P24" s="650"/>
      <c r="Q24" s="650"/>
      <c r="R24" s="650"/>
      <c r="S24" s="651"/>
      <c r="T24" s="651"/>
      <c r="U24" s="651"/>
      <c r="V24" s="651"/>
    </row>
    <row r="25" spans="1:22" s="11" customFormat="1" ht="12.75">
      <c r="A25" s="652" t="s">
        <v>83</v>
      </c>
      <c r="B25" s="653"/>
      <c r="C25" s="210">
        <f>C23</f>
        <v>299.52</v>
      </c>
      <c r="D25" s="210">
        <f>D23</f>
        <v>279.99</v>
      </c>
      <c r="E25" s="210">
        <f>E23</f>
        <v>205.6</v>
      </c>
      <c r="F25" s="210">
        <f>F23</f>
        <v>785.11</v>
      </c>
      <c r="G25" s="210">
        <f aca="true" t="shared" si="1" ref="G25:V25">G23</f>
        <v>0</v>
      </c>
      <c r="H25" s="210">
        <f t="shared" si="1"/>
        <v>0</v>
      </c>
      <c r="I25" s="210">
        <f t="shared" si="1"/>
        <v>0</v>
      </c>
      <c r="J25" s="210">
        <f t="shared" si="1"/>
        <v>0</v>
      </c>
      <c r="K25" s="210">
        <f t="shared" si="1"/>
        <v>0</v>
      </c>
      <c r="L25" s="210">
        <f t="shared" si="1"/>
        <v>0</v>
      </c>
      <c r="M25" s="210">
        <f t="shared" si="1"/>
        <v>0</v>
      </c>
      <c r="N25" s="210">
        <f t="shared" si="1"/>
        <v>0</v>
      </c>
      <c r="O25" s="210">
        <f t="shared" si="1"/>
        <v>0</v>
      </c>
      <c r="P25" s="210">
        <f t="shared" si="1"/>
        <v>0</v>
      </c>
      <c r="Q25" s="210">
        <f t="shared" si="1"/>
        <v>0</v>
      </c>
      <c r="R25" s="210">
        <f t="shared" si="1"/>
        <v>0</v>
      </c>
      <c r="S25" s="210">
        <f t="shared" si="1"/>
        <v>299.52</v>
      </c>
      <c r="T25" s="210">
        <f t="shared" si="1"/>
        <v>279.99</v>
      </c>
      <c r="U25" s="210">
        <f t="shared" si="1"/>
        <v>205.6</v>
      </c>
      <c r="V25" s="210">
        <f t="shared" si="1"/>
        <v>785.11</v>
      </c>
    </row>
    <row r="26" spans="1:22" s="11" customFormat="1" ht="12.75">
      <c r="A26" s="652" t="s">
        <v>30</v>
      </c>
      <c r="B26" s="653"/>
      <c r="C26" s="210">
        <f aca="true" t="shared" si="2" ref="C26:V26">C21+C25</f>
        <v>27678.960000000003</v>
      </c>
      <c r="D26" s="210">
        <f t="shared" si="2"/>
        <v>9501.04</v>
      </c>
      <c r="E26" s="210">
        <f t="shared" si="2"/>
        <v>19245.61</v>
      </c>
      <c r="F26" s="210">
        <f t="shared" si="2"/>
        <v>56425.61</v>
      </c>
      <c r="G26" s="210">
        <f t="shared" si="2"/>
        <v>16835.04</v>
      </c>
      <c r="H26" s="210">
        <f t="shared" si="2"/>
        <v>4464.95</v>
      </c>
      <c r="I26" s="210">
        <f t="shared" si="2"/>
        <v>8632.66</v>
      </c>
      <c r="J26" s="210">
        <f t="shared" si="2"/>
        <v>29932.65</v>
      </c>
      <c r="K26" s="210">
        <f t="shared" si="2"/>
        <v>7333.97</v>
      </c>
      <c r="L26" s="210">
        <f t="shared" si="2"/>
        <v>3040.585</v>
      </c>
      <c r="M26" s="210">
        <f t="shared" si="2"/>
        <v>7905.014999999999</v>
      </c>
      <c r="N26" s="210">
        <f t="shared" si="2"/>
        <v>18279.57</v>
      </c>
      <c r="O26" s="210">
        <f t="shared" si="2"/>
        <v>24169.010000000002</v>
      </c>
      <c r="P26" s="210">
        <f t="shared" si="2"/>
        <v>7505.535</v>
      </c>
      <c r="Q26" s="210">
        <f t="shared" si="2"/>
        <v>16537.675</v>
      </c>
      <c r="R26" s="210">
        <f t="shared" si="2"/>
        <v>48212.22</v>
      </c>
      <c r="S26" s="210">
        <f t="shared" si="2"/>
        <v>3509.9500000000007</v>
      </c>
      <c r="T26" s="210">
        <f t="shared" si="2"/>
        <v>1995.505</v>
      </c>
      <c r="U26" s="210">
        <f t="shared" si="2"/>
        <v>2707.935000000002</v>
      </c>
      <c r="V26" s="210">
        <f t="shared" si="2"/>
        <v>8213.390000000003</v>
      </c>
    </row>
    <row r="28" spans="1:22" ht="12.75">
      <c r="A28" s="11"/>
      <c r="B28" s="11"/>
      <c r="C28" s="11"/>
      <c r="D28" s="11"/>
      <c r="E28" s="11"/>
      <c r="F28" s="11"/>
      <c r="G28" s="11"/>
      <c r="H28" s="11"/>
      <c r="I28" s="11"/>
      <c r="J28" s="11"/>
      <c r="K28" s="11"/>
      <c r="L28" s="11"/>
      <c r="M28" s="11"/>
      <c r="N28" s="11"/>
      <c r="O28" s="11"/>
      <c r="P28" s="11"/>
      <c r="Q28" s="11"/>
      <c r="R28" s="11"/>
      <c r="S28" s="68"/>
      <c r="T28" s="68"/>
      <c r="U28" s="68"/>
      <c r="V28" s="11"/>
    </row>
    <row r="29" spans="1:22" ht="12.75">
      <c r="A29" s="11"/>
      <c r="B29" s="11"/>
      <c r="C29" s="11"/>
      <c r="D29" s="11"/>
      <c r="E29" s="11"/>
      <c r="F29" s="11"/>
      <c r="G29" s="11"/>
      <c r="H29" s="11"/>
      <c r="I29" s="11"/>
      <c r="J29" s="11"/>
      <c r="K29" s="11"/>
      <c r="L29" s="11"/>
      <c r="M29" s="11"/>
      <c r="N29" s="11"/>
      <c r="O29" s="11"/>
      <c r="P29" s="11"/>
      <c r="Q29" s="11"/>
      <c r="R29" s="11"/>
      <c r="S29" s="95"/>
      <c r="T29" s="95"/>
      <c r="U29" s="68"/>
      <c r="V29" s="11"/>
    </row>
    <row r="30" spans="1:22" ht="12.75">
      <c r="A30" s="11"/>
      <c r="B30" s="11"/>
      <c r="C30" s="11"/>
      <c r="D30" s="11"/>
      <c r="E30" s="11"/>
      <c r="F30" s="11"/>
      <c r="G30" s="11"/>
      <c r="H30" s="11"/>
      <c r="I30" s="11"/>
      <c r="J30" s="11"/>
      <c r="K30" s="11"/>
      <c r="L30" s="11"/>
      <c r="M30" s="11"/>
      <c r="N30" s="11"/>
      <c r="O30" s="11"/>
      <c r="P30" s="11"/>
      <c r="Q30" s="11"/>
      <c r="R30" s="11"/>
      <c r="S30" s="95"/>
      <c r="T30" s="95"/>
      <c r="U30" s="68"/>
      <c r="V30" s="11"/>
    </row>
    <row r="31" spans="1:30" ht="12.75">
      <c r="A31" s="68"/>
      <c r="B31" s="68"/>
      <c r="C31" s="559" t="s">
        <v>989</v>
      </c>
      <c r="D31" s="559"/>
      <c r="E31" s="559"/>
      <c r="F31" s="241"/>
      <c r="G31" s="358"/>
      <c r="H31" s="358"/>
      <c r="I31" s="559" t="s">
        <v>990</v>
      </c>
      <c r="J31" s="559"/>
      <c r="K31" s="559"/>
      <c r="L31" s="241"/>
      <c r="M31" s="358"/>
      <c r="N31" s="358"/>
      <c r="O31" s="358"/>
      <c r="P31" s="559" t="s">
        <v>996</v>
      </c>
      <c r="Q31" s="559"/>
      <c r="R31" s="559"/>
      <c r="S31" s="559"/>
      <c r="T31" s="68"/>
      <c r="U31" s="68"/>
      <c r="V31" s="68"/>
      <c r="W31" s="68"/>
      <c r="X31" s="68"/>
      <c r="Y31" s="68"/>
      <c r="Z31" s="68"/>
      <c r="AA31" s="68"/>
      <c r="AB31" s="68"/>
      <c r="AC31" s="68"/>
      <c r="AD31" s="68"/>
    </row>
    <row r="32" spans="1:37" ht="12.75">
      <c r="A32" s="68"/>
      <c r="B32" s="68"/>
      <c r="C32" s="559" t="s">
        <v>991</v>
      </c>
      <c r="D32" s="559"/>
      <c r="E32" s="559"/>
      <c r="F32" s="241"/>
      <c r="G32" s="358"/>
      <c r="H32" s="358"/>
      <c r="I32" s="559" t="s">
        <v>992</v>
      </c>
      <c r="J32" s="559"/>
      <c r="K32" s="559"/>
      <c r="L32" s="241"/>
      <c r="M32" s="358"/>
      <c r="N32" s="358"/>
      <c r="O32" s="358"/>
      <c r="P32" s="559" t="s">
        <v>993</v>
      </c>
      <c r="Q32" s="559"/>
      <c r="R32" s="559"/>
      <c r="S32" s="559"/>
      <c r="T32" s="94"/>
      <c r="U32" s="94"/>
      <c r="V32" s="94"/>
      <c r="W32" s="94"/>
      <c r="X32" s="94"/>
      <c r="Y32" s="94"/>
      <c r="Z32" s="94"/>
      <c r="AA32" s="94"/>
      <c r="AB32" s="94"/>
      <c r="AC32" s="94"/>
      <c r="AD32" s="94"/>
      <c r="AE32" s="94"/>
      <c r="AF32" s="94"/>
      <c r="AG32" s="94"/>
      <c r="AH32" s="94"/>
      <c r="AI32" s="94"/>
      <c r="AJ32" s="94"/>
      <c r="AK32" s="94"/>
    </row>
    <row r="33" spans="1:32" ht="12.75">
      <c r="A33" s="11"/>
      <c r="B33" s="11"/>
      <c r="C33" s="559" t="s">
        <v>994</v>
      </c>
      <c r="D33" s="559"/>
      <c r="E33" s="559"/>
      <c r="F33" s="241"/>
      <c r="G33" s="358"/>
      <c r="H33" s="358"/>
      <c r="I33" s="559" t="s">
        <v>995</v>
      </c>
      <c r="J33" s="559"/>
      <c r="K33" s="559"/>
      <c r="L33" s="241"/>
      <c r="M33" s="358"/>
      <c r="N33" s="358"/>
      <c r="O33" s="358"/>
      <c r="P33" s="559" t="s">
        <v>995</v>
      </c>
      <c r="Q33" s="559"/>
      <c r="R33" s="559"/>
      <c r="S33" s="559"/>
      <c r="T33" s="1"/>
      <c r="U33" s="1"/>
      <c r="V33" s="1"/>
      <c r="W33" s="11"/>
      <c r="X33" s="11"/>
      <c r="Y33" s="11"/>
      <c r="Z33" s="11"/>
      <c r="AE33" s="11"/>
      <c r="AF33" s="11"/>
    </row>
  </sheetData>
  <sheetProtection/>
  <mergeCells count="70">
    <mergeCell ref="K16:K19"/>
    <mergeCell ref="A21:B21"/>
    <mergeCell ref="C23:C24"/>
    <mergeCell ref="D23:D24"/>
    <mergeCell ref="E23:E24"/>
    <mergeCell ref="G16:G19"/>
    <mergeCell ref="H16:H19"/>
    <mergeCell ref="I16:I19"/>
    <mergeCell ref="J16:J19"/>
    <mergeCell ref="J23:J24"/>
    <mergeCell ref="H23:H24"/>
    <mergeCell ref="I23:I24"/>
    <mergeCell ref="F23:F24"/>
    <mergeCell ref="G23:G24"/>
    <mergeCell ref="P23:P24"/>
    <mergeCell ref="A26:B26"/>
    <mergeCell ref="A25:B25"/>
    <mergeCell ref="N23:N24"/>
    <mergeCell ref="O23:O24"/>
    <mergeCell ref="K23:K24"/>
    <mergeCell ref="Q16:Q19"/>
    <mergeCell ref="V23:V24"/>
    <mergeCell ref="T23:T24"/>
    <mergeCell ref="U23:U24"/>
    <mergeCell ref="R23:R24"/>
    <mergeCell ref="S23:S24"/>
    <mergeCell ref="O16:O19"/>
    <mergeCell ref="L16:L19"/>
    <mergeCell ref="M16:M19"/>
    <mergeCell ref="Q23:Q24"/>
    <mergeCell ref="U16:U19"/>
    <mergeCell ref="M23:M24"/>
    <mergeCell ref="L23:L24"/>
    <mergeCell ref="A22:V22"/>
    <mergeCell ref="V16:V19"/>
    <mergeCell ref="P16:P19"/>
    <mergeCell ref="Y17:AB17"/>
    <mergeCell ref="A6:V6"/>
    <mergeCell ref="A4:V4"/>
    <mergeCell ref="A3:V3"/>
    <mergeCell ref="T16:T19"/>
    <mergeCell ref="A15:V15"/>
    <mergeCell ref="O12:R12"/>
    <mergeCell ref="G11:R11"/>
    <mergeCell ref="C16:C19"/>
    <mergeCell ref="D16:D19"/>
    <mergeCell ref="C31:E31"/>
    <mergeCell ref="I31:K31"/>
    <mergeCell ref="P31:S31"/>
    <mergeCell ref="G2:O2"/>
    <mergeCell ref="A8:C8"/>
    <mergeCell ref="E16:E19"/>
    <mergeCell ref="F16:F19"/>
    <mergeCell ref="R16:R19"/>
    <mergeCell ref="S16:S19"/>
    <mergeCell ref="N16:N19"/>
    <mergeCell ref="AB10:AD10"/>
    <mergeCell ref="A11:A12"/>
    <mergeCell ref="B11:B12"/>
    <mergeCell ref="C11:F12"/>
    <mergeCell ref="G12:J12"/>
    <mergeCell ref="K12:N12"/>
    <mergeCell ref="U10:V10"/>
    <mergeCell ref="S11:V12"/>
    <mergeCell ref="C32:E32"/>
    <mergeCell ref="I32:K32"/>
    <mergeCell ref="P32:S32"/>
    <mergeCell ref="C33:E33"/>
    <mergeCell ref="I33:K33"/>
    <mergeCell ref="P33:S3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tabColor rgb="FF92D050"/>
    <pageSetUpPr fitToPage="1"/>
  </sheetPr>
  <dimension ref="A1:P43"/>
  <sheetViews>
    <sheetView view="pageBreakPreview" zoomScale="70" zoomScaleSheetLayoutView="70" zoomScalePageLayoutView="0" workbookViewId="0" topLeftCell="A1">
      <selection activeCell="Y53" sqref="Y53"/>
    </sheetView>
  </sheetViews>
  <sheetFormatPr defaultColWidth="9.140625" defaultRowHeight="12.75"/>
  <cols>
    <col min="1" max="1" width="8.57421875" style="148" customWidth="1"/>
    <col min="2" max="2" width="28.00390625" style="148" customWidth="1"/>
    <col min="3" max="3" width="12.00390625" style="148" customWidth="1"/>
    <col min="4" max="4" width="14.00390625" style="148" customWidth="1"/>
    <col min="5" max="5" width="8.7109375" style="148" customWidth="1"/>
    <col min="6" max="6" width="7.28125" style="148" customWidth="1"/>
    <col min="7" max="7" width="7.421875" style="148" customWidth="1"/>
    <col min="8" max="8" width="6.7109375" style="148" bestFit="1" customWidth="1"/>
    <col min="9" max="9" width="6.57421875" style="148" customWidth="1"/>
    <col min="10" max="10" width="6.7109375" style="148" customWidth="1"/>
    <col min="11" max="11" width="7.140625" style="148" customWidth="1"/>
    <col min="12" max="12" width="8.140625" style="148" customWidth="1"/>
    <col min="13" max="13" width="9.28125" style="148" customWidth="1"/>
    <col min="14" max="16384" width="9.140625" style="148" customWidth="1"/>
  </cols>
  <sheetData>
    <row r="1" spans="8:12" ht="12.75">
      <c r="H1" s="894"/>
      <c r="I1" s="894"/>
      <c r="L1" s="151" t="s">
        <v>536</v>
      </c>
    </row>
    <row r="2" spans="1:16" ht="12.75">
      <c r="A2" s="894" t="s">
        <v>486</v>
      </c>
      <c r="B2" s="894"/>
      <c r="C2" s="894"/>
      <c r="D2" s="894"/>
      <c r="E2" s="894"/>
      <c r="F2" s="894"/>
      <c r="G2" s="894"/>
      <c r="H2" s="894"/>
      <c r="I2" s="894"/>
      <c r="J2" s="894"/>
      <c r="K2" s="894"/>
      <c r="L2" s="894"/>
      <c r="M2" s="894"/>
      <c r="N2" s="894"/>
      <c r="O2" s="894"/>
      <c r="P2" s="894"/>
    </row>
    <row r="3" spans="1:16" s="152" customFormat="1" ht="15.75">
      <c r="A3" s="893" t="s">
        <v>687</v>
      </c>
      <c r="B3" s="893"/>
      <c r="C3" s="893"/>
      <c r="D3" s="893"/>
      <c r="E3" s="893"/>
      <c r="F3" s="893"/>
      <c r="G3" s="893"/>
      <c r="H3" s="893"/>
      <c r="I3" s="893"/>
      <c r="J3" s="893"/>
      <c r="K3" s="893"/>
      <c r="L3" s="893"/>
      <c r="M3" s="893"/>
      <c r="N3" s="893"/>
      <c r="O3" s="893"/>
      <c r="P3" s="893"/>
    </row>
    <row r="4" spans="1:16" s="152" customFormat="1" ht="20.25" customHeight="1">
      <c r="A4" s="893" t="s">
        <v>686</v>
      </c>
      <c r="B4" s="893"/>
      <c r="C4" s="893"/>
      <c r="D4" s="893"/>
      <c r="E4" s="893"/>
      <c r="F4" s="893"/>
      <c r="G4" s="893"/>
      <c r="H4" s="893"/>
      <c r="I4" s="893"/>
      <c r="J4" s="893"/>
      <c r="K4" s="893"/>
      <c r="L4" s="893"/>
      <c r="M4" s="893"/>
      <c r="N4" s="893"/>
      <c r="O4" s="893"/>
      <c r="P4" s="893"/>
    </row>
    <row r="6" spans="1:10" ht="12.75">
      <c r="A6" s="153" t="s">
        <v>157</v>
      </c>
      <c r="B6" s="154"/>
      <c r="C6" s="155"/>
      <c r="D6" s="155"/>
      <c r="E6" s="155"/>
      <c r="F6" s="155"/>
      <c r="G6" s="155"/>
      <c r="H6" s="155"/>
      <c r="I6" s="155"/>
      <c r="J6" s="155"/>
    </row>
    <row r="7" spans="1:16" s="156" customFormat="1" ht="15" customHeight="1">
      <c r="A7" s="148"/>
      <c r="B7" s="148"/>
      <c r="C7" s="148"/>
      <c r="D7" s="148"/>
      <c r="E7" s="148"/>
      <c r="F7" s="148"/>
      <c r="G7" s="148"/>
      <c r="H7" s="148"/>
      <c r="I7" s="148"/>
      <c r="J7" s="148"/>
      <c r="K7" s="895" t="s">
        <v>959</v>
      </c>
      <c r="L7" s="895"/>
      <c r="M7" s="895"/>
      <c r="N7" s="895"/>
      <c r="O7" s="895"/>
      <c r="P7" s="895"/>
    </row>
    <row r="8" spans="1:16" s="156" customFormat="1" ht="20.25" customHeight="1">
      <c r="A8" s="896" t="s">
        <v>1</v>
      </c>
      <c r="B8" s="896" t="s">
        <v>2</v>
      </c>
      <c r="C8" s="788" t="s">
        <v>278</v>
      </c>
      <c r="D8" s="788" t="s">
        <v>279</v>
      </c>
      <c r="E8" s="898" t="s">
        <v>280</v>
      </c>
      <c r="F8" s="898"/>
      <c r="G8" s="898"/>
      <c r="H8" s="898"/>
      <c r="I8" s="898"/>
      <c r="J8" s="898"/>
      <c r="K8" s="898"/>
      <c r="L8" s="898"/>
      <c r="M8" s="898"/>
      <c r="N8" s="898"/>
      <c r="O8" s="898"/>
      <c r="P8" s="898"/>
    </row>
    <row r="9" spans="1:16" s="156" customFormat="1" ht="35.25" customHeight="1">
      <c r="A9" s="897"/>
      <c r="B9" s="897"/>
      <c r="C9" s="789"/>
      <c r="D9" s="789"/>
      <c r="E9" s="188" t="s">
        <v>975</v>
      </c>
      <c r="F9" s="188" t="s">
        <v>281</v>
      </c>
      <c r="G9" s="188" t="s">
        <v>282</v>
      </c>
      <c r="H9" s="188" t="s">
        <v>283</v>
      </c>
      <c r="I9" s="188" t="s">
        <v>284</v>
      </c>
      <c r="J9" s="188" t="s">
        <v>285</v>
      </c>
      <c r="K9" s="188" t="s">
        <v>286</v>
      </c>
      <c r="L9" s="188" t="s">
        <v>287</v>
      </c>
      <c r="M9" s="188" t="s">
        <v>976</v>
      </c>
      <c r="N9" s="167" t="s">
        <v>977</v>
      </c>
      <c r="O9" s="167" t="s">
        <v>978</v>
      </c>
      <c r="P9" s="167" t="s">
        <v>979</v>
      </c>
    </row>
    <row r="10" spans="1:16" s="156" customFormat="1" ht="12.75" customHeight="1">
      <c r="A10" s="330">
        <v>1</v>
      </c>
      <c r="B10" s="330">
        <v>2</v>
      </c>
      <c r="C10" s="330">
        <v>3</v>
      </c>
      <c r="D10" s="330">
        <v>4</v>
      </c>
      <c r="E10" s="330">
        <v>5</v>
      </c>
      <c r="F10" s="330">
        <v>6</v>
      </c>
      <c r="G10" s="330">
        <v>7</v>
      </c>
      <c r="H10" s="330">
        <v>8</v>
      </c>
      <c r="I10" s="330">
        <v>9</v>
      </c>
      <c r="J10" s="330">
        <v>10</v>
      </c>
      <c r="K10" s="330">
        <v>11</v>
      </c>
      <c r="L10" s="330">
        <v>12</v>
      </c>
      <c r="M10" s="330">
        <v>13</v>
      </c>
      <c r="N10" s="330">
        <v>14</v>
      </c>
      <c r="O10" s="330">
        <v>15</v>
      </c>
      <c r="P10" s="330">
        <v>16</v>
      </c>
    </row>
    <row r="11" spans="1:16" ht="15">
      <c r="A11" s="484">
        <v>1</v>
      </c>
      <c r="B11" s="485" t="s">
        <v>879</v>
      </c>
      <c r="C11" s="491">
        <v>1730</v>
      </c>
      <c r="D11" s="491">
        <v>1730</v>
      </c>
      <c r="E11" s="491">
        <v>1730</v>
      </c>
      <c r="F11" s="491">
        <v>1730</v>
      </c>
      <c r="G11" s="491">
        <v>1730</v>
      </c>
      <c r="H11" s="491">
        <v>1730</v>
      </c>
      <c r="I11" s="491">
        <v>1730</v>
      </c>
      <c r="J11" s="491">
        <v>1730</v>
      </c>
      <c r="K11" s="491">
        <v>1730</v>
      </c>
      <c r="L11" s="491">
        <v>1730</v>
      </c>
      <c r="M11" s="491">
        <v>1730</v>
      </c>
      <c r="N11" s="491">
        <v>1730</v>
      </c>
      <c r="O11" s="491">
        <v>1730</v>
      </c>
      <c r="P11" s="491">
        <v>1730</v>
      </c>
    </row>
    <row r="12" spans="1:16" ht="15">
      <c r="A12" s="484">
        <v>2</v>
      </c>
      <c r="B12" s="485" t="s">
        <v>880</v>
      </c>
      <c r="C12" s="491">
        <v>1794</v>
      </c>
      <c r="D12" s="491">
        <v>1789</v>
      </c>
      <c r="E12" s="491">
        <v>1782</v>
      </c>
      <c r="F12" s="491">
        <v>1781</v>
      </c>
      <c r="G12" s="491">
        <v>1778</v>
      </c>
      <c r="H12" s="491">
        <v>1773</v>
      </c>
      <c r="I12" s="491">
        <v>1758</v>
      </c>
      <c r="J12" s="491">
        <v>1750</v>
      </c>
      <c r="K12" s="491">
        <v>1744</v>
      </c>
      <c r="L12" s="491">
        <v>1741</v>
      </c>
      <c r="M12" s="491">
        <v>1736</v>
      </c>
      <c r="N12" s="491">
        <v>1157</v>
      </c>
      <c r="O12" s="491">
        <v>561</v>
      </c>
      <c r="P12" s="491">
        <v>217</v>
      </c>
    </row>
    <row r="13" spans="1:16" ht="15">
      <c r="A13" s="484">
        <v>3</v>
      </c>
      <c r="B13" s="485" t="s">
        <v>881</v>
      </c>
      <c r="C13" s="491">
        <v>2092</v>
      </c>
      <c r="D13" s="491">
        <v>2090</v>
      </c>
      <c r="E13" s="491">
        <v>2073</v>
      </c>
      <c r="F13" s="491">
        <v>2073</v>
      </c>
      <c r="G13" s="491">
        <v>2073</v>
      </c>
      <c r="H13" s="491">
        <v>2073</v>
      </c>
      <c r="I13" s="491">
        <v>2073</v>
      </c>
      <c r="J13" s="491">
        <v>2072</v>
      </c>
      <c r="K13" s="491">
        <v>2071</v>
      </c>
      <c r="L13" s="491">
        <v>2071</v>
      </c>
      <c r="M13" s="491">
        <v>2061</v>
      </c>
      <c r="N13" s="491">
        <v>1623</v>
      </c>
      <c r="O13" s="491">
        <v>1315</v>
      </c>
      <c r="P13" s="491">
        <v>1000</v>
      </c>
    </row>
    <row r="14" spans="1:16" s="106" customFormat="1" ht="15">
      <c r="A14" s="484">
        <v>4</v>
      </c>
      <c r="B14" s="485" t="s">
        <v>882</v>
      </c>
      <c r="C14" s="491">
        <v>1832</v>
      </c>
      <c r="D14" s="491">
        <v>1831</v>
      </c>
      <c r="E14" s="491">
        <v>1826</v>
      </c>
      <c r="F14" s="491">
        <v>1820</v>
      </c>
      <c r="G14" s="491">
        <v>1820</v>
      </c>
      <c r="H14" s="491">
        <v>1792</v>
      </c>
      <c r="I14" s="491">
        <v>1792</v>
      </c>
      <c r="J14" s="491">
        <v>1785</v>
      </c>
      <c r="K14" s="491">
        <v>1768</v>
      </c>
      <c r="L14" s="491">
        <v>1637</v>
      </c>
      <c r="M14" s="491">
        <v>1559</v>
      </c>
      <c r="N14" s="491">
        <v>1492</v>
      </c>
      <c r="O14" s="491">
        <v>920</v>
      </c>
      <c r="P14" s="491">
        <v>395</v>
      </c>
    </row>
    <row r="15" spans="1:16" s="106" customFormat="1" ht="15">
      <c r="A15" s="484">
        <v>5</v>
      </c>
      <c r="B15" s="485" t="s">
        <v>883</v>
      </c>
      <c r="C15" s="491">
        <v>2497</v>
      </c>
      <c r="D15" s="491">
        <v>2475</v>
      </c>
      <c r="E15" s="491">
        <v>2352</v>
      </c>
      <c r="F15" s="491">
        <v>2352</v>
      </c>
      <c r="G15" s="491">
        <v>2338</v>
      </c>
      <c r="H15" s="491">
        <v>2336</v>
      </c>
      <c r="I15" s="491">
        <v>2336</v>
      </c>
      <c r="J15" s="491">
        <v>2334</v>
      </c>
      <c r="K15" s="491">
        <v>2316</v>
      </c>
      <c r="L15" s="491">
        <v>2082</v>
      </c>
      <c r="M15" s="491">
        <v>1782</v>
      </c>
      <c r="N15" s="491">
        <v>1547</v>
      </c>
      <c r="O15" s="491">
        <v>1009</v>
      </c>
      <c r="P15" s="491">
        <v>842</v>
      </c>
    </row>
    <row r="16" spans="1:16" s="106" customFormat="1" ht="15">
      <c r="A16" s="484">
        <v>6</v>
      </c>
      <c r="B16" s="485" t="s">
        <v>884</v>
      </c>
      <c r="C16" s="491">
        <v>1533</v>
      </c>
      <c r="D16" s="491">
        <v>1532</v>
      </c>
      <c r="E16" s="491">
        <v>1532</v>
      </c>
      <c r="F16" s="491">
        <v>1532</v>
      </c>
      <c r="G16" s="491">
        <v>1532</v>
      </c>
      <c r="H16" s="491">
        <v>1532</v>
      </c>
      <c r="I16" s="491">
        <v>1532</v>
      </c>
      <c r="J16" s="491">
        <v>1531</v>
      </c>
      <c r="K16" s="491">
        <v>1531</v>
      </c>
      <c r="L16" s="491">
        <v>1466</v>
      </c>
      <c r="M16" s="491">
        <v>1445</v>
      </c>
      <c r="N16" s="491">
        <v>1259</v>
      </c>
      <c r="O16" s="491">
        <v>938</v>
      </c>
      <c r="P16" s="491">
        <v>458</v>
      </c>
    </row>
    <row r="17" spans="1:16" s="106" customFormat="1" ht="15">
      <c r="A17" s="484">
        <v>7</v>
      </c>
      <c r="B17" s="485" t="s">
        <v>885</v>
      </c>
      <c r="C17" s="491">
        <v>3362</v>
      </c>
      <c r="D17" s="491">
        <v>3356</v>
      </c>
      <c r="E17" s="491">
        <v>3346</v>
      </c>
      <c r="F17" s="491">
        <v>3346</v>
      </c>
      <c r="G17" s="491">
        <v>3346</v>
      </c>
      <c r="H17" s="491">
        <v>3346</v>
      </c>
      <c r="I17" s="491">
        <v>3346</v>
      </c>
      <c r="J17" s="491">
        <v>3346</v>
      </c>
      <c r="K17" s="491">
        <v>3346</v>
      </c>
      <c r="L17" s="491">
        <v>3327</v>
      </c>
      <c r="M17" s="491">
        <v>3317</v>
      </c>
      <c r="N17" s="491">
        <v>3196</v>
      </c>
      <c r="O17" s="491">
        <v>2308</v>
      </c>
      <c r="P17" s="491">
        <v>1673</v>
      </c>
    </row>
    <row r="18" spans="1:16" s="106" customFormat="1" ht="15">
      <c r="A18" s="484">
        <v>8</v>
      </c>
      <c r="B18" s="485" t="s">
        <v>886</v>
      </c>
      <c r="C18" s="491">
        <v>1727</v>
      </c>
      <c r="D18" s="491">
        <v>1722</v>
      </c>
      <c r="E18" s="491">
        <v>1676</v>
      </c>
      <c r="F18" s="491">
        <v>1668</v>
      </c>
      <c r="G18" s="491">
        <v>1654</v>
      </c>
      <c r="H18" s="491">
        <v>1642</v>
      </c>
      <c r="I18" s="491">
        <v>1617</v>
      </c>
      <c r="J18" s="491">
        <v>1576</v>
      </c>
      <c r="K18" s="491">
        <v>1552</v>
      </c>
      <c r="L18" s="491">
        <v>1523</v>
      </c>
      <c r="M18" s="491">
        <v>1446</v>
      </c>
      <c r="N18" s="491">
        <v>993</v>
      </c>
      <c r="O18" s="491">
        <v>765</v>
      </c>
      <c r="P18" s="491">
        <v>646</v>
      </c>
    </row>
    <row r="19" spans="1:16" s="106" customFormat="1" ht="15">
      <c r="A19" s="484">
        <v>9</v>
      </c>
      <c r="B19" s="485" t="s">
        <v>887</v>
      </c>
      <c r="C19" s="491">
        <v>1731</v>
      </c>
      <c r="D19" s="491">
        <v>1728</v>
      </c>
      <c r="E19" s="491">
        <v>1724</v>
      </c>
      <c r="F19" s="491">
        <v>1724</v>
      </c>
      <c r="G19" s="491">
        <v>1724</v>
      </c>
      <c r="H19" s="491">
        <v>1724</v>
      </c>
      <c r="I19" s="491">
        <v>1724</v>
      </c>
      <c r="J19" s="491">
        <v>1724</v>
      </c>
      <c r="K19" s="491">
        <v>1724</v>
      </c>
      <c r="L19" s="491">
        <v>1724</v>
      </c>
      <c r="M19" s="491">
        <v>947</v>
      </c>
      <c r="N19" s="491">
        <v>532</v>
      </c>
      <c r="O19" s="491">
        <v>239</v>
      </c>
      <c r="P19" s="491">
        <v>203</v>
      </c>
    </row>
    <row r="20" spans="1:16" s="106" customFormat="1" ht="15">
      <c r="A20" s="484">
        <v>10</v>
      </c>
      <c r="B20" s="485" t="s">
        <v>888</v>
      </c>
      <c r="C20" s="491">
        <v>1599</v>
      </c>
      <c r="D20" s="491">
        <v>1576</v>
      </c>
      <c r="E20" s="491">
        <v>1490</v>
      </c>
      <c r="F20" s="491">
        <v>1489</v>
      </c>
      <c r="G20" s="491">
        <v>1489</v>
      </c>
      <c r="H20" s="491">
        <v>1489</v>
      </c>
      <c r="I20" s="491">
        <v>1483</v>
      </c>
      <c r="J20" s="491">
        <v>1406</v>
      </c>
      <c r="K20" s="491">
        <v>1365</v>
      </c>
      <c r="L20" s="491">
        <v>1331</v>
      </c>
      <c r="M20" s="491">
        <v>1279</v>
      </c>
      <c r="N20" s="491">
        <v>938</v>
      </c>
      <c r="O20" s="491">
        <v>733</v>
      </c>
      <c r="P20" s="491">
        <v>434</v>
      </c>
    </row>
    <row r="21" spans="1:16" s="106" customFormat="1" ht="15">
      <c r="A21" s="484">
        <v>11</v>
      </c>
      <c r="B21" s="485" t="s">
        <v>889</v>
      </c>
      <c r="C21" s="491">
        <v>1166</v>
      </c>
      <c r="D21" s="491">
        <v>1166</v>
      </c>
      <c r="E21" s="491">
        <v>1164</v>
      </c>
      <c r="F21" s="491">
        <v>1164</v>
      </c>
      <c r="G21" s="491">
        <v>1163</v>
      </c>
      <c r="H21" s="491">
        <v>1163</v>
      </c>
      <c r="I21" s="491">
        <v>1163</v>
      </c>
      <c r="J21" s="491">
        <v>1163</v>
      </c>
      <c r="K21" s="491">
        <v>1163</v>
      </c>
      <c r="L21" s="491">
        <v>1162</v>
      </c>
      <c r="M21" s="491">
        <v>1161</v>
      </c>
      <c r="N21" s="491">
        <v>1156</v>
      </c>
      <c r="O21" s="491">
        <v>1152</v>
      </c>
      <c r="P21" s="491">
        <v>1144</v>
      </c>
    </row>
    <row r="22" spans="1:16" s="106" customFormat="1" ht="15">
      <c r="A22" s="484">
        <v>12</v>
      </c>
      <c r="B22" s="485" t="s">
        <v>890</v>
      </c>
      <c r="C22" s="491">
        <v>996</v>
      </c>
      <c r="D22" s="491">
        <v>992</v>
      </c>
      <c r="E22" s="491">
        <v>990</v>
      </c>
      <c r="F22" s="491">
        <v>990</v>
      </c>
      <c r="G22" s="491">
        <v>990</v>
      </c>
      <c r="H22" s="491">
        <v>990</v>
      </c>
      <c r="I22" s="491">
        <v>990</v>
      </c>
      <c r="J22" s="491">
        <v>990</v>
      </c>
      <c r="K22" s="491">
        <v>990</v>
      </c>
      <c r="L22" s="491">
        <v>990</v>
      </c>
      <c r="M22" s="491">
        <v>990</v>
      </c>
      <c r="N22" s="491">
        <v>559</v>
      </c>
      <c r="O22" s="491">
        <v>141</v>
      </c>
      <c r="P22" s="491">
        <v>0</v>
      </c>
    </row>
    <row r="23" spans="1:16" s="106" customFormat="1" ht="15">
      <c r="A23" s="484">
        <v>13</v>
      </c>
      <c r="B23" s="485" t="s">
        <v>891</v>
      </c>
      <c r="C23" s="491">
        <v>723</v>
      </c>
      <c r="D23" s="491">
        <v>715</v>
      </c>
      <c r="E23" s="491">
        <v>715</v>
      </c>
      <c r="F23" s="491">
        <v>715</v>
      </c>
      <c r="G23" s="491">
        <v>715</v>
      </c>
      <c r="H23" s="491">
        <v>710</v>
      </c>
      <c r="I23" s="491">
        <v>708</v>
      </c>
      <c r="J23" s="491">
        <v>706</v>
      </c>
      <c r="K23" s="491">
        <v>698</v>
      </c>
      <c r="L23" s="491">
        <v>611</v>
      </c>
      <c r="M23" s="491">
        <v>559</v>
      </c>
      <c r="N23" s="491">
        <v>286</v>
      </c>
      <c r="O23" s="491">
        <v>263</v>
      </c>
      <c r="P23" s="491">
        <v>144</v>
      </c>
    </row>
    <row r="24" spans="1:16" s="106" customFormat="1" ht="15">
      <c r="A24" s="484">
        <v>14</v>
      </c>
      <c r="B24" s="485" t="s">
        <v>892</v>
      </c>
      <c r="C24" s="491">
        <v>1175</v>
      </c>
      <c r="D24" s="491">
        <v>1173</v>
      </c>
      <c r="E24" s="491">
        <v>1173</v>
      </c>
      <c r="F24" s="491">
        <v>1173</v>
      </c>
      <c r="G24" s="491">
        <v>1173</v>
      </c>
      <c r="H24" s="491">
        <v>1173</v>
      </c>
      <c r="I24" s="491">
        <v>1173</v>
      </c>
      <c r="J24" s="491">
        <v>1173</v>
      </c>
      <c r="K24" s="491">
        <v>1173</v>
      </c>
      <c r="L24" s="491">
        <v>1173</v>
      </c>
      <c r="M24" s="491">
        <v>1173</v>
      </c>
      <c r="N24" s="491">
        <v>237</v>
      </c>
      <c r="O24" s="491">
        <v>230</v>
      </c>
      <c r="P24" s="491">
        <v>0</v>
      </c>
    </row>
    <row r="25" spans="1:16" s="106" customFormat="1" ht="15">
      <c r="A25" s="484">
        <v>15</v>
      </c>
      <c r="B25" s="485" t="s">
        <v>893</v>
      </c>
      <c r="C25" s="491">
        <v>586</v>
      </c>
      <c r="D25" s="491">
        <v>586</v>
      </c>
      <c r="E25" s="491">
        <v>568</v>
      </c>
      <c r="F25" s="491">
        <v>565</v>
      </c>
      <c r="G25" s="491">
        <v>536</v>
      </c>
      <c r="H25" s="491">
        <v>520</v>
      </c>
      <c r="I25" s="491">
        <v>519</v>
      </c>
      <c r="J25" s="491">
        <v>514</v>
      </c>
      <c r="K25" s="491">
        <v>512</v>
      </c>
      <c r="L25" s="491">
        <v>511</v>
      </c>
      <c r="M25" s="491">
        <v>503</v>
      </c>
      <c r="N25" s="491">
        <v>495</v>
      </c>
      <c r="O25" s="491">
        <v>401</v>
      </c>
      <c r="P25" s="491">
        <v>331</v>
      </c>
    </row>
    <row r="26" spans="1:16" s="106" customFormat="1" ht="15">
      <c r="A26" s="484">
        <v>16</v>
      </c>
      <c r="B26" s="485" t="s">
        <v>894</v>
      </c>
      <c r="C26" s="491">
        <v>1061</v>
      </c>
      <c r="D26" s="491">
        <v>1061</v>
      </c>
      <c r="E26" s="491">
        <v>1059</v>
      </c>
      <c r="F26" s="491">
        <v>1059</v>
      </c>
      <c r="G26" s="491">
        <v>1059</v>
      </c>
      <c r="H26" s="491">
        <v>1059</v>
      </c>
      <c r="I26" s="491">
        <v>1059</v>
      </c>
      <c r="J26" s="491">
        <v>1059</v>
      </c>
      <c r="K26" s="491">
        <v>1059</v>
      </c>
      <c r="L26" s="491">
        <v>1059</v>
      </c>
      <c r="M26" s="491">
        <v>1059</v>
      </c>
      <c r="N26" s="491">
        <v>1056</v>
      </c>
      <c r="O26" s="491">
        <v>998</v>
      </c>
      <c r="P26" s="491">
        <v>443</v>
      </c>
    </row>
    <row r="27" spans="1:16" ht="15">
      <c r="A27" s="484">
        <v>17</v>
      </c>
      <c r="B27" s="485" t="s">
        <v>895</v>
      </c>
      <c r="C27" s="491">
        <v>2574</v>
      </c>
      <c r="D27" s="491">
        <v>2560</v>
      </c>
      <c r="E27" s="491">
        <v>2555</v>
      </c>
      <c r="F27" s="491">
        <v>2555</v>
      </c>
      <c r="G27" s="491">
        <v>2555</v>
      </c>
      <c r="H27" s="491">
        <v>2555</v>
      </c>
      <c r="I27" s="491">
        <v>2555</v>
      </c>
      <c r="J27" s="491">
        <v>2555</v>
      </c>
      <c r="K27" s="491">
        <v>2555</v>
      </c>
      <c r="L27" s="491">
        <v>2555</v>
      </c>
      <c r="M27" s="491">
        <v>2538</v>
      </c>
      <c r="N27" s="491">
        <v>2523</v>
      </c>
      <c r="O27" s="491">
        <v>2270</v>
      </c>
      <c r="P27" s="491">
        <v>2221</v>
      </c>
    </row>
    <row r="28" spans="1:16" ht="15">
      <c r="A28" s="484">
        <v>18</v>
      </c>
      <c r="B28" s="485" t="s">
        <v>896</v>
      </c>
      <c r="C28" s="491">
        <v>2252</v>
      </c>
      <c r="D28" s="491">
        <v>2251</v>
      </c>
      <c r="E28" s="491">
        <v>2162</v>
      </c>
      <c r="F28" s="491">
        <v>2159</v>
      </c>
      <c r="G28" s="491">
        <v>2151</v>
      </c>
      <c r="H28" s="491">
        <v>2147</v>
      </c>
      <c r="I28" s="491">
        <v>2140</v>
      </c>
      <c r="J28" s="491">
        <v>2100</v>
      </c>
      <c r="K28" s="491">
        <v>2096</v>
      </c>
      <c r="L28" s="491">
        <v>2071</v>
      </c>
      <c r="M28" s="491">
        <v>1903</v>
      </c>
      <c r="N28" s="491">
        <v>1831</v>
      </c>
      <c r="O28" s="491">
        <v>1815</v>
      </c>
      <c r="P28" s="491">
        <v>978</v>
      </c>
    </row>
    <row r="29" spans="1:16" ht="15">
      <c r="A29" s="484">
        <v>19</v>
      </c>
      <c r="B29" s="485" t="s">
        <v>897</v>
      </c>
      <c r="C29" s="491">
        <v>1954</v>
      </c>
      <c r="D29" s="491">
        <v>1954</v>
      </c>
      <c r="E29" s="491">
        <v>1954</v>
      </c>
      <c r="F29" s="491">
        <v>1954</v>
      </c>
      <c r="G29" s="491">
        <v>1954</v>
      </c>
      <c r="H29" s="491">
        <v>1954</v>
      </c>
      <c r="I29" s="491">
        <v>1954</v>
      </c>
      <c r="J29" s="491">
        <v>1954</v>
      </c>
      <c r="K29" s="491">
        <v>1954</v>
      </c>
      <c r="L29" s="491">
        <v>1954</v>
      </c>
      <c r="M29" s="491">
        <v>1954</v>
      </c>
      <c r="N29" s="491">
        <v>1954</v>
      </c>
      <c r="O29" s="491">
        <v>1950</v>
      </c>
      <c r="P29" s="491">
        <v>1692</v>
      </c>
    </row>
    <row r="30" spans="1:16" ht="15">
      <c r="A30" s="484">
        <v>20</v>
      </c>
      <c r="B30" s="485" t="s">
        <v>898</v>
      </c>
      <c r="C30" s="491">
        <v>700</v>
      </c>
      <c r="D30" s="491">
        <v>698</v>
      </c>
      <c r="E30" s="491">
        <v>522</v>
      </c>
      <c r="F30" s="491">
        <v>519</v>
      </c>
      <c r="G30" s="491">
        <v>517</v>
      </c>
      <c r="H30" s="491">
        <v>492</v>
      </c>
      <c r="I30" s="491">
        <v>492</v>
      </c>
      <c r="J30" s="491">
        <v>492</v>
      </c>
      <c r="K30" s="491">
        <v>492</v>
      </c>
      <c r="L30" s="491">
        <v>421</v>
      </c>
      <c r="M30" s="491">
        <v>409</v>
      </c>
      <c r="N30" s="491">
        <v>164</v>
      </c>
      <c r="O30" s="491">
        <v>35</v>
      </c>
      <c r="P30" s="491">
        <v>32</v>
      </c>
    </row>
    <row r="31" spans="1:16" ht="15">
      <c r="A31" s="484">
        <v>21</v>
      </c>
      <c r="B31" s="485" t="s">
        <v>899</v>
      </c>
      <c r="C31" s="491">
        <v>2486</v>
      </c>
      <c r="D31" s="491">
        <v>2470</v>
      </c>
      <c r="E31" s="491">
        <v>2384</v>
      </c>
      <c r="F31" s="491">
        <v>2383</v>
      </c>
      <c r="G31" s="491">
        <v>2383</v>
      </c>
      <c r="H31" s="491">
        <v>2381</v>
      </c>
      <c r="I31" s="491">
        <v>2381</v>
      </c>
      <c r="J31" s="491">
        <v>2381</v>
      </c>
      <c r="K31" s="491">
        <v>2380</v>
      </c>
      <c r="L31" s="491">
        <v>2322</v>
      </c>
      <c r="M31" s="491">
        <v>2252</v>
      </c>
      <c r="N31" s="491">
        <v>2127</v>
      </c>
      <c r="O31" s="491">
        <v>2115</v>
      </c>
      <c r="P31" s="491">
        <v>2113</v>
      </c>
    </row>
    <row r="32" spans="1:16" ht="15">
      <c r="A32" s="484">
        <v>22</v>
      </c>
      <c r="B32" s="485" t="s">
        <v>900</v>
      </c>
      <c r="C32" s="491">
        <v>1438</v>
      </c>
      <c r="D32" s="491">
        <v>1257</v>
      </c>
      <c r="E32" s="491">
        <v>930</v>
      </c>
      <c r="F32" s="491">
        <v>919</v>
      </c>
      <c r="G32" s="491">
        <v>917</v>
      </c>
      <c r="H32" s="491">
        <v>891</v>
      </c>
      <c r="I32" s="491">
        <v>858</v>
      </c>
      <c r="J32" s="491">
        <v>841</v>
      </c>
      <c r="K32" s="491">
        <v>834</v>
      </c>
      <c r="L32" s="491">
        <v>744</v>
      </c>
      <c r="M32" s="491">
        <v>457</v>
      </c>
      <c r="N32" s="491">
        <v>45</v>
      </c>
      <c r="O32" s="491">
        <v>26</v>
      </c>
      <c r="P32" s="491">
        <v>17</v>
      </c>
    </row>
    <row r="33" spans="1:16" ht="15">
      <c r="A33" s="484">
        <v>23</v>
      </c>
      <c r="B33" s="485" t="s">
        <v>901</v>
      </c>
      <c r="C33" s="491">
        <v>1660</v>
      </c>
      <c r="D33" s="491">
        <v>1531</v>
      </c>
      <c r="E33" s="491">
        <v>1527</v>
      </c>
      <c r="F33" s="491">
        <v>1526</v>
      </c>
      <c r="G33" s="491">
        <v>1524</v>
      </c>
      <c r="H33" s="491">
        <v>1524</v>
      </c>
      <c r="I33" s="491">
        <v>1523</v>
      </c>
      <c r="J33" s="491">
        <v>1523</v>
      </c>
      <c r="K33" s="491">
        <v>1523</v>
      </c>
      <c r="L33" s="491">
        <v>1523</v>
      </c>
      <c r="M33" s="491">
        <v>1514</v>
      </c>
      <c r="N33" s="491">
        <v>1009</v>
      </c>
      <c r="O33" s="491">
        <v>505</v>
      </c>
      <c r="P33" s="491">
        <v>371</v>
      </c>
    </row>
    <row r="34" spans="1:16" ht="15">
      <c r="A34" s="484">
        <v>24</v>
      </c>
      <c r="B34" s="485" t="s">
        <v>902</v>
      </c>
      <c r="C34" s="491">
        <v>1078</v>
      </c>
      <c r="D34" s="491">
        <v>1068</v>
      </c>
      <c r="E34" s="491">
        <v>1049</v>
      </c>
      <c r="F34" s="491">
        <v>1049</v>
      </c>
      <c r="G34" s="491">
        <v>1049</v>
      </c>
      <c r="H34" s="491">
        <v>1049</v>
      </c>
      <c r="I34" s="491">
        <v>1033</v>
      </c>
      <c r="J34" s="491">
        <v>1032</v>
      </c>
      <c r="K34" s="491">
        <v>1031</v>
      </c>
      <c r="L34" s="491">
        <v>1029</v>
      </c>
      <c r="M34" s="491">
        <v>939</v>
      </c>
      <c r="N34" s="491">
        <v>799</v>
      </c>
      <c r="O34" s="491">
        <v>271</v>
      </c>
      <c r="P34" s="491">
        <v>0</v>
      </c>
    </row>
    <row r="35" spans="1:16" ht="12.75">
      <c r="A35" s="821" t="s">
        <v>13</v>
      </c>
      <c r="B35" s="822"/>
      <c r="C35" s="331">
        <f aca="true" t="shared" si="0" ref="C35:P35">SUM(C11:C34)</f>
        <v>39746</v>
      </c>
      <c r="D35" s="331">
        <f t="shared" si="0"/>
        <v>39311</v>
      </c>
      <c r="E35" s="331">
        <f t="shared" si="0"/>
        <v>38283</v>
      </c>
      <c r="F35" s="331">
        <f t="shared" si="0"/>
        <v>38245</v>
      </c>
      <c r="G35" s="331">
        <f t="shared" si="0"/>
        <v>38170</v>
      </c>
      <c r="H35" s="331">
        <f t="shared" si="0"/>
        <v>38045</v>
      </c>
      <c r="I35" s="331">
        <f t="shared" si="0"/>
        <v>37939</v>
      </c>
      <c r="J35" s="331">
        <f t="shared" si="0"/>
        <v>37737</v>
      </c>
      <c r="K35" s="331">
        <f t="shared" si="0"/>
        <v>37607</v>
      </c>
      <c r="L35" s="331">
        <f t="shared" si="0"/>
        <v>36757</v>
      </c>
      <c r="M35" s="331">
        <f t="shared" si="0"/>
        <v>34713</v>
      </c>
      <c r="N35" s="331">
        <f t="shared" si="0"/>
        <v>28708</v>
      </c>
      <c r="O35" s="331">
        <f t="shared" si="0"/>
        <v>22690</v>
      </c>
      <c r="P35" s="331">
        <f t="shared" si="0"/>
        <v>17084</v>
      </c>
    </row>
    <row r="38" spans="8:13" ht="12.75">
      <c r="H38" s="161"/>
      <c r="I38" s="161"/>
      <c r="J38" s="161"/>
      <c r="K38" s="161"/>
      <c r="L38" s="161"/>
      <c r="M38" s="161"/>
    </row>
    <row r="39" spans="8:13" ht="12.75">
      <c r="H39" s="161"/>
      <c r="I39" s="161"/>
      <c r="J39" s="161"/>
      <c r="K39" s="161"/>
      <c r="L39" s="161"/>
      <c r="M39" s="161"/>
    </row>
    <row r="40" spans="8:13" ht="12.75">
      <c r="H40" s="161"/>
      <c r="I40" s="161"/>
      <c r="J40" s="161"/>
      <c r="K40" s="161"/>
      <c r="L40" s="161"/>
      <c r="M40" s="161"/>
    </row>
    <row r="41" spans="2:15" ht="12.75">
      <c r="B41" s="559" t="s">
        <v>989</v>
      </c>
      <c r="C41" s="559"/>
      <c r="D41" s="559"/>
      <c r="E41" s="12"/>
      <c r="F41" s="12"/>
      <c r="G41" s="559" t="s">
        <v>990</v>
      </c>
      <c r="H41" s="559"/>
      <c r="I41" s="559"/>
      <c r="J41" s="559"/>
      <c r="K41" s="359"/>
      <c r="L41" s="359"/>
      <c r="M41" s="559" t="s">
        <v>996</v>
      </c>
      <c r="N41" s="559"/>
      <c r="O41" s="559"/>
    </row>
    <row r="42" spans="2:15" ht="12.75" customHeight="1">
      <c r="B42" s="559" t="s">
        <v>991</v>
      </c>
      <c r="C42" s="559"/>
      <c r="D42" s="559"/>
      <c r="E42" s="12"/>
      <c r="F42" s="12"/>
      <c r="G42" s="559" t="s">
        <v>992</v>
      </c>
      <c r="H42" s="559"/>
      <c r="I42" s="559"/>
      <c r="J42" s="559"/>
      <c r="K42" s="359"/>
      <c r="L42" s="359"/>
      <c r="M42" s="559" t="s">
        <v>993</v>
      </c>
      <c r="N42" s="559"/>
      <c r="O42" s="559"/>
    </row>
    <row r="43" spans="1:15" ht="12.75" customHeight="1">
      <c r="A43" s="12"/>
      <c r="B43" s="559" t="s">
        <v>994</v>
      </c>
      <c r="C43" s="559"/>
      <c r="D43" s="559"/>
      <c r="E43" s="12"/>
      <c r="F43" s="12"/>
      <c r="G43" s="559" t="s">
        <v>995</v>
      </c>
      <c r="H43" s="559"/>
      <c r="I43" s="559"/>
      <c r="J43" s="559"/>
      <c r="K43" s="359"/>
      <c r="L43" s="359"/>
      <c r="M43" s="559" t="s">
        <v>995</v>
      </c>
      <c r="N43" s="559"/>
      <c r="O43" s="559"/>
    </row>
  </sheetData>
  <sheetProtection/>
  <mergeCells count="20">
    <mergeCell ref="A4:P4"/>
    <mergeCell ref="A2:P2"/>
    <mergeCell ref="A3:P3"/>
    <mergeCell ref="H1:I1"/>
    <mergeCell ref="K7:P7"/>
    <mergeCell ref="A8:A9"/>
    <mergeCell ref="B8:B9"/>
    <mergeCell ref="C8:C9"/>
    <mergeCell ref="D8:D9"/>
    <mergeCell ref="E8:P8"/>
    <mergeCell ref="B43:D43"/>
    <mergeCell ref="M43:O43"/>
    <mergeCell ref="G41:J41"/>
    <mergeCell ref="G42:J42"/>
    <mergeCell ref="G43:J43"/>
    <mergeCell ref="A35:B35"/>
    <mergeCell ref="B41:D41"/>
    <mergeCell ref="M41:O41"/>
    <mergeCell ref="B42:D42"/>
    <mergeCell ref="M42:O42"/>
  </mergeCells>
  <hyperlinks>
    <hyperlink ref="B11" display="BOKARO"/>
    <hyperlink ref="B12" display="CHATRA"/>
    <hyperlink ref="B13" display="DEOGHAR"/>
    <hyperlink ref="B14" display="DHANBAD"/>
    <hyperlink ref="B15" display="DUMKA"/>
    <hyperlink ref="B16" display="GARHWA"/>
    <hyperlink ref="B17" display="GIRIDIH"/>
    <hyperlink ref="B18" display="GODDA"/>
    <hyperlink ref="B19" display="GUMLA"/>
    <hyperlink ref="B20" display="HAZARIBAG"/>
    <hyperlink ref="B21" display="JAMTARA"/>
    <hyperlink ref="B22" display="KHUNTI"/>
    <hyperlink ref="B23" display="KODARMA"/>
    <hyperlink ref="B24" display="LATEHAR"/>
    <hyperlink ref="B25" display="LOHARDAGA"/>
    <hyperlink ref="B26" display="PAKAUR"/>
    <hyperlink ref="B27" display="PALAMU"/>
    <hyperlink ref="B28" display="PASHCHIMI SINGHBHUM"/>
    <hyperlink ref="B29" display="PURBI SINGHBHUM"/>
    <hyperlink ref="B30" display="RAMGARH"/>
    <hyperlink ref="B31" display="RANCHI"/>
    <hyperlink ref="B32" display="SAHIBGANJ"/>
    <hyperlink ref="B33" display="SARAIKELA-KHARSAWAN"/>
    <hyperlink ref="B34" display="SIMDEGA"/>
  </hyperlink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51.xml><?xml version="1.0" encoding="utf-8"?>
<worksheet xmlns="http://schemas.openxmlformats.org/spreadsheetml/2006/main" xmlns:r="http://schemas.openxmlformats.org/officeDocument/2006/relationships">
  <sheetPr>
    <tabColor rgb="FF92D050"/>
    <pageSetUpPr fitToPage="1"/>
  </sheetPr>
  <dimension ref="A1:P43"/>
  <sheetViews>
    <sheetView view="pageBreakPreview" zoomScale="70" zoomScaleSheetLayoutView="70" zoomScalePageLayoutView="0" workbookViewId="0" topLeftCell="A1">
      <selection activeCell="V54" sqref="V54"/>
    </sheetView>
  </sheetViews>
  <sheetFormatPr defaultColWidth="9.140625" defaultRowHeight="12.75"/>
  <cols>
    <col min="1" max="1" width="8.57421875" style="148" customWidth="1"/>
    <col min="2" max="2" width="27.7109375" style="148" customWidth="1"/>
    <col min="3" max="3" width="12.140625" style="148" customWidth="1"/>
    <col min="4" max="4" width="16.00390625" style="148" customWidth="1"/>
    <col min="5" max="11" width="9.57421875" style="148" customWidth="1"/>
    <col min="12" max="12" width="9.8515625" style="148" customWidth="1"/>
    <col min="13" max="13" width="10.28125" style="148" customWidth="1"/>
    <col min="14" max="14" width="10.00390625" style="148" customWidth="1"/>
    <col min="15" max="16" width="9.57421875" style="148" customWidth="1"/>
    <col min="17" max="16384" width="9.140625" style="148" customWidth="1"/>
  </cols>
  <sheetData>
    <row r="1" spans="8:13" ht="12.75">
      <c r="H1" s="894"/>
      <c r="I1" s="894"/>
      <c r="L1" s="899" t="s">
        <v>556</v>
      </c>
      <c r="M1" s="899"/>
    </row>
    <row r="2" spans="1:16" ht="12.75">
      <c r="A2" s="894" t="s">
        <v>688</v>
      </c>
      <c r="B2" s="894"/>
      <c r="C2" s="894"/>
      <c r="D2" s="894"/>
      <c r="E2" s="894"/>
      <c r="F2" s="894"/>
      <c r="G2" s="894"/>
      <c r="H2" s="894"/>
      <c r="I2" s="894"/>
      <c r="J2" s="894"/>
      <c r="K2" s="894"/>
      <c r="L2" s="894"/>
      <c r="M2" s="894"/>
      <c r="N2" s="894"/>
      <c r="O2" s="894"/>
      <c r="P2" s="894"/>
    </row>
    <row r="3" spans="1:16" s="152" customFormat="1" ht="15.75">
      <c r="A3" s="893" t="s">
        <v>687</v>
      </c>
      <c r="B3" s="893"/>
      <c r="C3" s="893"/>
      <c r="D3" s="893"/>
      <c r="E3" s="893"/>
      <c r="F3" s="893"/>
      <c r="G3" s="893"/>
      <c r="H3" s="893"/>
      <c r="I3" s="893"/>
      <c r="J3" s="893"/>
      <c r="K3" s="893"/>
      <c r="L3" s="893"/>
      <c r="M3" s="893"/>
      <c r="N3" s="893"/>
      <c r="O3" s="893"/>
      <c r="P3" s="893"/>
    </row>
    <row r="4" spans="1:16" s="152" customFormat="1" ht="15.75">
      <c r="A4" s="893" t="s">
        <v>689</v>
      </c>
      <c r="B4" s="893"/>
      <c r="C4" s="893"/>
      <c r="D4" s="893"/>
      <c r="E4" s="893"/>
      <c r="F4" s="893"/>
      <c r="G4" s="893"/>
      <c r="H4" s="893"/>
      <c r="I4" s="893"/>
      <c r="J4" s="893"/>
      <c r="K4" s="893"/>
      <c r="L4" s="893"/>
      <c r="M4" s="893"/>
      <c r="N4" s="893"/>
      <c r="O4" s="893"/>
      <c r="P4" s="893"/>
    </row>
    <row r="6" spans="1:10" ht="12.75">
      <c r="A6" s="153" t="s">
        <v>157</v>
      </c>
      <c r="B6" s="154"/>
      <c r="C6" s="155"/>
      <c r="D6" s="155"/>
      <c r="E6" s="155"/>
      <c r="F6" s="155"/>
      <c r="G6" s="155"/>
      <c r="H6" s="155"/>
      <c r="I6" s="155"/>
      <c r="J6" s="155"/>
    </row>
    <row r="7" spans="1:16" s="156" customFormat="1" ht="15" customHeight="1">
      <c r="A7" s="148"/>
      <c r="B7" s="148"/>
      <c r="C7" s="148"/>
      <c r="D7" s="148"/>
      <c r="E7" s="148"/>
      <c r="F7" s="148"/>
      <c r="G7" s="148"/>
      <c r="H7" s="148"/>
      <c r="I7" s="148"/>
      <c r="J7" s="148"/>
      <c r="K7" s="895" t="s">
        <v>959</v>
      </c>
      <c r="L7" s="895"/>
      <c r="M7" s="895"/>
      <c r="N7" s="895"/>
      <c r="O7" s="895"/>
      <c r="P7" s="895"/>
    </row>
    <row r="8" spans="1:16" s="156" customFormat="1" ht="20.25" customHeight="1">
      <c r="A8" s="900" t="s">
        <v>1</v>
      </c>
      <c r="B8" s="900" t="s">
        <v>2</v>
      </c>
      <c r="C8" s="898" t="s">
        <v>278</v>
      </c>
      <c r="D8" s="898" t="s">
        <v>555</v>
      </c>
      <c r="E8" s="901" t="s">
        <v>741</v>
      </c>
      <c r="F8" s="901"/>
      <c r="G8" s="901"/>
      <c r="H8" s="901"/>
      <c r="I8" s="901"/>
      <c r="J8" s="901"/>
      <c r="K8" s="901"/>
      <c r="L8" s="901"/>
      <c r="M8" s="901"/>
      <c r="N8" s="901"/>
      <c r="O8" s="901"/>
      <c r="P8" s="901"/>
    </row>
    <row r="9" spans="1:16" s="156" customFormat="1" ht="35.25" customHeight="1">
      <c r="A9" s="900"/>
      <c r="B9" s="900"/>
      <c r="C9" s="898"/>
      <c r="D9" s="898"/>
      <c r="E9" s="188" t="s">
        <v>975</v>
      </c>
      <c r="F9" s="188" t="s">
        <v>281</v>
      </c>
      <c r="G9" s="188" t="s">
        <v>282</v>
      </c>
      <c r="H9" s="188" t="s">
        <v>283</v>
      </c>
      <c r="I9" s="188" t="s">
        <v>284</v>
      </c>
      <c r="J9" s="188" t="s">
        <v>285</v>
      </c>
      <c r="K9" s="188" t="s">
        <v>286</v>
      </c>
      <c r="L9" s="188" t="s">
        <v>287</v>
      </c>
      <c r="M9" s="188" t="s">
        <v>976</v>
      </c>
      <c r="N9" s="167" t="s">
        <v>977</v>
      </c>
      <c r="O9" s="167" t="s">
        <v>978</v>
      </c>
      <c r="P9" s="167" t="s">
        <v>979</v>
      </c>
    </row>
    <row r="10" spans="1:16" s="156" customFormat="1" ht="12.75" customHeight="1">
      <c r="A10" s="392">
        <v>1</v>
      </c>
      <c r="B10" s="392">
        <v>2</v>
      </c>
      <c r="C10" s="392">
        <v>3</v>
      </c>
      <c r="D10" s="392">
        <v>4</v>
      </c>
      <c r="E10" s="392">
        <v>5</v>
      </c>
      <c r="F10" s="392">
        <v>6</v>
      </c>
      <c r="G10" s="392">
        <v>7</v>
      </c>
      <c r="H10" s="392">
        <v>8</v>
      </c>
      <c r="I10" s="392">
        <v>9</v>
      </c>
      <c r="J10" s="392">
        <v>10</v>
      </c>
      <c r="K10" s="392">
        <v>11</v>
      </c>
      <c r="L10" s="392">
        <v>12</v>
      </c>
      <c r="M10" s="392">
        <v>13</v>
      </c>
      <c r="N10" s="392">
        <v>14</v>
      </c>
      <c r="O10" s="392">
        <v>15</v>
      </c>
      <c r="P10" s="392">
        <v>16</v>
      </c>
    </row>
    <row r="11" spans="1:16" ht="15">
      <c r="A11" s="484">
        <v>1</v>
      </c>
      <c r="B11" s="485" t="s">
        <v>879</v>
      </c>
      <c r="C11" s="486">
        <f>'AT-3'!F28</f>
        <v>1730</v>
      </c>
      <c r="D11" s="487">
        <v>1570.25</v>
      </c>
      <c r="E11" s="488">
        <v>1489</v>
      </c>
      <c r="F11" s="488">
        <v>1378</v>
      </c>
      <c r="G11" s="488">
        <v>1519</v>
      </c>
      <c r="H11" s="488">
        <v>1523</v>
      </c>
      <c r="I11" s="488">
        <v>1545</v>
      </c>
      <c r="J11" s="488">
        <v>1552</v>
      </c>
      <c r="K11" s="488">
        <v>1511</v>
      </c>
      <c r="L11" s="488">
        <v>1530</v>
      </c>
      <c r="M11" s="488">
        <v>1665</v>
      </c>
      <c r="N11" s="488">
        <v>1711</v>
      </c>
      <c r="O11" s="488">
        <v>1715</v>
      </c>
      <c r="P11" s="488">
        <v>1705</v>
      </c>
    </row>
    <row r="12" spans="1:16" ht="15">
      <c r="A12" s="484">
        <v>2</v>
      </c>
      <c r="B12" s="485" t="s">
        <v>880</v>
      </c>
      <c r="C12" s="486">
        <f>'AT-3'!F25</f>
        <v>1794</v>
      </c>
      <c r="D12" s="487">
        <v>1212.8333333333333</v>
      </c>
      <c r="E12" s="488">
        <v>1024</v>
      </c>
      <c r="F12" s="488">
        <v>1077</v>
      </c>
      <c r="G12" s="488">
        <v>1091</v>
      </c>
      <c r="H12" s="488">
        <v>1199</v>
      </c>
      <c r="I12" s="488">
        <v>1246</v>
      </c>
      <c r="J12" s="488">
        <v>1198</v>
      </c>
      <c r="K12" s="488">
        <v>1099</v>
      </c>
      <c r="L12" s="488">
        <v>1038</v>
      </c>
      <c r="M12" s="488">
        <v>1056</v>
      </c>
      <c r="N12" s="488">
        <v>1497</v>
      </c>
      <c r="O12" s="488">
        <v>1557</v>
      </c>
      <c r="P12" s="488">
        <v>1472</v>
      </c>
    </row>
    <row r="13" spans="1:16" ht="15">
      <c r="A13" s="484">
        <v>3</v>
      </c>
      <c r="B13" s="485" t="s">
        <v>881</v>
      </c>
      <c r="C13" s="486">
        <f>'AT-3'!F34</f>
        <v>2092</v>
      </c>
      <c r="D13" s="487">
        <v>1757.25</v>
      </c>
      <c r="E13" s="488">
        <v>1652</v>
      </c>
      <c r="F13" s="488">
        <v>1736</v>
      </c>
      <c r="G13" s="488">
        <v>1855</v>
      </c>
      <c r="H13" s="488">
        <v>1639</v>
      </c>
      <c r="I13" s="488">
        <v>1666</v>
      </c>
      <c r="J13" s="488">
        <v>1579</v>
      </c>
      <c r="K13" s="488">
        <v>1530</v>
      </c>
      <c r="L13" s="488">
        <v>1453</v>
      </c>
      <c r="M13" s="488">
        <v>2005</v>
      </c>
      <c r="N13" s="488">
        <v>2027</v>
      </c>
      <c r="O13" s="488">
        <v>2012</v>
      </c>
      <c r="P13" s="488">
        <v>1933</v>
      </c>
    </row>
    <row r="14" spans="1:16" s="106" customFormat="1" ht="15">
      <c r="A14" s="484">
        <v>4</v>
      </c>
      <c r="B14" s="485" t="s">
        <v>882</v>
      </c>
      <c r="C14" s="486">
        <f>'AT-3'!F27</f>
        <v>1832</v>
      </c>
      <c r="D14" s="487">
        <v>1671.1666666666667</v>
      </c>
      <c r="E14" s="488">
        <v>1445</v>
      </c>
      <c r="F14" s="488">
        <v>1381</v>
      </c>
      <c r="G14" s="488">
        <v>1506</v>
      </c>
      <c r="H14" s="488">
        <v>1534</v>
      </c>
      <c r="I14" s="488">
        <v>1752</v>
      </c>
      <c r="J14" s="488">
        <v>1760</v>
      </c>
      <c r="K14" s="488">
        <v>1731</v>
      </c>
      <c r="L14" s="488">
        <v>1730</v>
      </c>
      <c r="M14" s="488">
        <v>1808</v>
      </c>
      <c r="N14" s="488">
        <v>1808</v>
      </c>
      <c r="O14" s="488">
        <v>1798</v>
      </c>
      <c r="P14" s="488">
        <v>1801</v>
      </c>
    </row>
    <row r="15" spans="1:16" s="106" customFormat="1" ht="15">
      <c r="A15" s="484">
        <v>5</v>
      </c>
      <c r="B15" s="485" t="s">
        <v>883</v>
      </c>
      <c r="C15" s="486">
        <f>'AT-3'!F29</f>
        <v>2497</v>
      </c>
      <c r="D15" s="487">
        <v>1652.3333333333333</v>
      </c>
      <c r="E15" s="488">
        <v>1482</v>
      </c>
      <c r="F15" s="488">
        <v>1485</v>
      </c>
      <c r="G15" s="488">
        <v>1563</v>
      </c>
      <c r="H15" s="488">
        <v>1306</v>
      </c>
      <c r="I15" s="488">
        <v>1642</v>
      </c>
      <c r="J15" s="488">
        <v>1441</v>
      </c>
      <c r="K15" s="488">
        <v>1316</v>
      </c>
      <c r="L15" s="488">
        <v>1299</v>
      </c>
      <c r="M15" s="488">
        <v>1912</v>
      </c>
      <c r="N15" s="488">
        <v>2074</v>
      </c>
      <c r="O15" s="488">
        <v>2191</v>
      </c>
      <c r="P15" s="488">
        <v>2117</v>
      </c>
    </row>
    <row r="16" spans="1:16" s="106" customFormat="1" ht="15">
      <c r="A16" s="484">
        <v>6</v>
      </c>
      <c r="B16" s="485" t="s">
        <v>884</v>
      </c>
      <c r="C16" s="486">
        <f>'AT-3'!F21</f>
        <v>1533</v>
      </c>
      <c r="D16" s="487">
        <v>1133.5</v>
      </c>
      <c r="E16" s="488">
        <v>892</v>
      </c>
      <c r="F16" s="488">
        <v>1025</v>
      </c>
      <c r="G16" s="488">
        <v>1059</v>
      </c>
      <c r="H16" s="488">
        <v>1178</v>
      </c>
      <c r="I16" s="488">
        <v>1197</v>
      </c>
      <c r="J16" s="488">
        <v>1218</v>
      </c>
      <c r="K16" s="488">
        <v>1158</v>
      </c>
      <c r="L16" s="488">
        <v>1102</v>
      </c>
      <c r="M16" s="488">
        <v>1159</v>
      </c>
      <c r="N16" s="488">
        <v>1178</v>
      </c>
      <c r="O16" s="488">
        <v>1236</v>
      </c>
      <c r="P16" s="488">
        <v>1200</v>
      </c>
    </row>
    <row r="17" spans="1:16" s="106" customFormat="1" ht="15">
      <c r="A17" s="484">
        <v>7</v>
      </c>
      <c r="B17" s="485" t="s">
        <v>885</v>
      </c>
      <c r="C17" s="486">
        <f>'AT-3'!F26</f>
        <v>3362</v>
      </c>
      <c r="D17" s="487">
        <v>2472.0833333333335</v>
      </c>
      <c r="E17" s="488">
        <v>2290</v>
      </c>
      <c r="F17" s="488">
        <v>2307</v>
      </c>
      <c r="G17" s="488">
        <v>2101</v>
      </c>
      <c r="H17" s="488">
        <v>2242</v>
      </c>
      <c r="I17" s="488">
        <v>2346</v>
      </c>
      <c r="J17" s="488">
        <v>2330</v>
      </c>
      <c r="K17" s="488">
        <v>2197</v>
      </c>
      <c r="L17" s="488">
        <v>2081</v>
      </c>
      <c r="M17" s="488">
        <v>2861</v>
      </c>
      <c r="N17" s="488">
        <v>3029</v>
      </c>
      <c r="O17" s="488">
        <v>3016</v>
      </c>
      <c r="P17" s="488">
        <v>2865</v>
      </c>
    </row>
    <row r="18" spans="1:16" s="106" customFormat="1" ht="15">
      <c r="A18" s="484">
        <v>8</v>
      </c>
      <c r="B18" s="485" t="s">
        <v>886</v>
      </c>
      <c r="C18" s="486">
        <f>'AT-3'!F33</f>
        <v>1727</v>
      </c>
      <c r="D18" s="487">
        <v>1389.0833333333333</v>
      </c>
      <c r="E18" s="488">
        <v>1153</v>
      </c>
      <c r="F18" s="488">
        <v>1359</v>
      </c>
      <c r="G18" s="488">
        <v>1383</v>
      </c>
      <c r="H18" s="488">
        <v>1377</v>
      </c>
      <c r="I18" s="488">
        <v>1530</v>
      </c>
      <c r="J18" s="488">
        <v>1478</v>
      </c>
      <c r="K18" s="488">
        <v>1436</v>
      </c>
      <c r="L18" s="488">
        <v>1413</v>
      </c>
      <c r="M18" s="488">
        <v>1410</v>
      </c>
      <c r="N18" s="488">
        <v>1372</v>
      </c>
      <c r="O18" s="488">
        <v>1426</v>
      </c>
      <c r="P18" s="488">
        <v>1332</v>
      </c>
    </row>
    <row r="19" spans="1:16" s="106" customFormat="1" ht="15">
      <c r="A19" s="484">
        <v>9</v>
      </c>
      <c r="B19" s="485" t="s">
        <v>887</v>
      </c>
      <c r="C19" s="486">
        <f>'AT-3'!F14</f>
        <v>1731</v>
      </c>
      <c r="D19" s="487">
        <v>1117.5833333333333</v>
      </c>
      <c r="E19" s="488">
        <v>1048</v>
      </c>
      <c r="F19" s="488">
        <v>1004</v>
      </c>
      <c r="G19" s="488">
        <v>894</v>
      </c>
      <c r="H19" s="488">
        <v>966</v>
      </c>
      <c r="I19" s="488">
        <v>1146</v>
      </c>
      <c r="J19" s="488">
        <v>1108</v>
      </c>
      <c r="K19" s="488">
        <v>1027</v>
      </c>
      <c r="L19" s="488">
        <v>963</v>
      </c>
      <c r="M19" s="488">
        <v>1058</v>
      </c>
      <c r="N19" s="488">
        <v>1343</v>
      </c>
      <c r="O19" s="488">
        <v>1456</v>
      </c>
      <c r="P19" s="488">
        <v>1398</v>
      </c>
    </row>
    <row r="20" spans="1:16" s="106" customFormat="1" ht="15">
      <c r="A20" s="484">
        <v>10</v>
      </c>
      <c r="B20" s="485" t="s">
        <v>888</v>
      </c>
      <c r="C20" s="486">
        <f>'AT-3'!F22</f>
        <v>1599</v>
      </c>
      <c r="D20" s="487">
        <v>1319.0833333333333</v>
      </c>
      <c r="E20" s="488">
        <v>1024</v>
      </c>
      <c r="F20" s="488">
        <v>1128</v>
      </c>
      <c r="G20" s="488">
        <v>1156</v>
      </c>
      <c r="H20" s="488">
        <v>1348</v>
      </c>
      <c r="I20" s="488">
        <v>1413</v>
      </c>
      <c r="J20" s="488">
        <v>1368</v>
      </c>
      <c r="K20" s="488">
        <v>1329</v>
      </c>
      <c r="L20" s="488">
        <v>1334</v>
      </c>
      <c r="M20" s="488">
        <v>1358</v>
      </c>
      <c r="N20" s="488">
        <v>1434</v>
      </c>
      <c r="O20" s="488">
        <v>1500</v>
      </c>
      <c r="P20" s="488">
        <v>1437</v>
      </c>
    </row>
    <row r="21" spans="1:16" s="106" customFormat="1" ht="15">
      <c r="A21" s="484">
        <v>11</v>
      </c>
      <c r="B21" s="485" t="s">
        <v>889</v>
      </c>
      <c r="C21" s="486">
        <f>'AT-3'!F30</f>
        <v>1166</v>
      </c>
      <c r="D21" s="487">
        <v>926.8333333333334</v>
      </c>
      <c r="E21" s="488">
        <v>874</v>
      </c>
      <c r="F21" s="488">
        <v>882</v>
      </c>
      <c r="G21" s="488">
        <v>860</v>
      </c>
      <c r="H21" s="488">
        <v>908</v>
      </c>
      <c r="I21" s="488">
        <v>917</v>
      </c>
      <c r="J21" s="488">
        <v>879</v>
      </c>
      <c r="K21" s="488">
        <v>804</v>
      </c>
      <c r="L21" s="488">
        <v>827</v>
      </c>
      <c r="M21" s="488">
        <v>990</v>
      </c>
      <c r="N21" s="488">
        <v>1067</v>
      </c>
      <c r="O21" s="488">
        <v>1099</v>
      </c>
      <c r="P21" s="488">
        <v>1015</v>
      </c>
    </row>
    <row r="22" spans="1:16" s="106" customFormat="1" ht="15">
      <c r="A22" s="484">
        <v>12</v>
      </c>
      <c r="B22" s="485" t="s">
        <v>890</v>
      </c>
      <c r="C22" s="486">
        <f>'AT-3'!F12</f>
        <v>996</v>
      </c>
      <c r="D22" s="487">
        <v>802.3333333333334</v>
      </c>
      <c r="E22" s="488">
        <v>734</v>
      </c>
      <c r="F22" s="488">
        <v>824</v>
      </c>
      <c r="G22" s="488">
        <v>760</v>
      </c>
      <c r="H22" s="488">
        <v>785</v>
      </c>
      <c r="I22" s="488">
        <v>809</v>
      </c>
      <c r="J22" s="488">
        <v>802</v>
      </c>
      <c r="K22" s="488">
        <v>794</v>
      </c>
      <c r="L22" s="488">
        <v>794</v>
      </c>
      <c r="M22" s="488">
        <v>809</v>
      </c>
      <c r="N22" s="488">
        <v>834</v>
      </c>
      <c r="O22" s="488">
        <v>873</v>
      </c>
      <c r="P22" s="488">
        <v>810</v>
      </c>
    </row>
    <row r="23" spans="1:16" s="106" customFormat="1" ht="15">
      <c r="A23" s="484">
        <v>13</v>
      </c>
      <c r="B23" s="485" t="s">
        <v>891</v>
      </c>
      <c r="C23" s="486">
        <f>'AT-3'!F24</f>
        <v>723</v>
      </c>
      <c r="D23" s="487">
        <v>587.75</v>
      </c>
      <c r="E23" s="488">
        <v>602</v>
      </c>
      <c r="F23" s="488">
        <v>574</v>
      </c>
      <c r="G23" s="488">
        <v>567</v>
      </c>
      <c r="H23" s="488">
        <v>583</v>
      </c>
      <c r="I23" s="488">
        <v>594</v>
      </c>
      <c r="J23" s="488">
        <v>569</v>
      </c>
      <c r="K23" s="488">
        <v>537</v>
      </c>
      <c r="L23" s="488">
        <v>514</v>
      </c>
      <c r="M23" s="488">
        <v>558</v>
      </c>
      <c r="N23" s="488">
        <v>619</v>
      </c>
      <c r="O23" s="488">
        <v>677</v>
      </c>
      <c r="P23" s="488">
        <v>659</v>
      </c>
    </row>
    <row r="24" spans="1:16" s="106" customFormat="1" ht="15">
      <c r="A24" s="484">
        <v>14</v>
      </c>
      <c r="B24" s="485" t="s">
        <v>892</v>
      </c>
      <c r="C24" s="486">
        <f>'AT-3'!F20</f>
        <v>1175</v>
      </c>
      <c r="D24" s="487">
        <v>910.3333333333334</v>
      </c>
      <c r="E24" s="488">
        <v>787</v>
      </c>
      <c r="F24" s="488">
        <v>808</v>
      </c>
      <c r="G24" s="488">
        <v>807</v>
      </c>
      <c r="H24" s="488">
        <v>838</v>
      </c>
      <c r="I24" s="488">
        <v>985</v>
      </c>
      <c r="J24" s="488">
        <v>978</v>
      </c>
      <c r="K24" s="488">
        <v>948</v>
      </c>
      <c r="L24" s="488">
        <v>946</v>
      </c>
      <c r="M24" s="488">
        <v>954</v>
      </c>
      <c r="N24" s="488">
        <v>922</v>
      </c>
      <c r="O24" s="488">
        <v>985</v>
      </c>
      <c r="P24" s="488">
        <v>966</v>
      </c>
    </row>
    <row r="25" spans="1:16" s="106" customFormat="1" ht="15">
      <c r="A25" s="484">
        <v>15</v>
      </c>
      <c r="B25" s="485" t="s">
        <v>893</v>
      </c>
      <c r="C25" s="486">
        <f>'AT-3'!F13</f>
        <v>580</v>
      </c>
      <c r="D25" s="487">
        <v>470.5833333333333</v>
      </c>
      <c r="E25" s="488">
        <v>387</v>
      </c>
      <c r="F25" s="488">
        <v>400</v>
      </c>
      <c r="G25" s="488">
        <v>423</v>
      </c>
      <c r="H25" s="488">
        <v>434</v>
      </c>
      <c r="I25" s="488">
        <v>453</v>
      </c>
      <c r="J25" s="488">
        <v>482</v>
      </c>
      <c r="K25" s="488">
        <v>497</v>
      </c>
      <c r="L25" s="488">
        <v>481</v>
      </c>
      <c r="M25" s="488">
        <v>494</v>
      </c>
      <c r="N25" s="488">
        <v>517</v>
      </c>
      <c r="O25" s="488">
        <v>537</v>
      </c>
      <c r="P25" s="488">
        <v>542</v>
      </c>
    </row>
    <row r="26" spans="1:16" s="106" customFormat="1" ht="15">
      <c r="A26" s="484">
        <v>16</v>
      </c>
      <c r="B26" s="485" t="s">
        <v>894</v>
      </c>
      <c r="C26" s="486">
        <f>'AT-3'!F32</f>
        <v>1061</v>
      </c>
      <c r="D26" s="487">
        <v>949.0833333333334</v>
      </c>
      <c r="E26" s="488">
        <v>830</v>
      </c>
      <c r="F26" s="488">
        <v>907</v>
      </c>
      <c r="G26" s="488">
        <v>912</v>
      </c>
      <c r="H26" s="488">
        <v>974</v>
      </c>
      <c r="I26" s="488">
        <v>990</v>
      </c>
      <c r="J26" s="488">
        <v>976</v>
      </c>
      <c r="K26" s="488">
        <v>952</v>
      </c>
      <c r="L26" s="488">
        <v>950</v>
      </c>
      <c r="M26" s="488">
        <v>962</v>
      </c>
      <c r="N26" s="488">
        <v>968</v>
      </c>
      <c r="O26" s="488">
        <v>998</v>
      </c>
      <c r="P26" s="488">
        <v>970</v>
      </c>
    </row>
    <row r="27" spans="1:16" ht="15">
      <c r="A27" s="484">
        <v>17</v>
      </c>
      <c r="B27" s="485" t="s">
        <v>895</v>
      </c>
      <c r="C27" s="486">
        <f>'AT-3'!F19</f>
        <v>2574</v>
      </c>
      <c r="D27" s="487">
        <v>1977.8333333333333</v>
      </c>
      <c r="E27" s="488">
        <v>1743</v>
      </c>
      <c r="F27" s="488">
        <v>1830</v>
      </c>
      <c r="G27" s="488">
        <v>1562</v>
      </c>
      <c r="H27" s="488">
        <v>1813</v>
      </c>
      <c r="I27" s="488">
        <v>1978</v>
      </c>
      <c r="J27" s="488">
        <v>2044</v>
      </c>
      <c r="K27" s="488">
        <v>2021</v>
      </c>
      <c r="L27" s="488">
        <v>2005</v>
      </c>
      <c r="M27" s="488">
        <v>2108</v>
      </c>
      <c r="N27" s="488">
        <v>2144</v>
      </c>
      <c r="O27" s="488">
        <v>2278</v>
      </c>
      <c r="P27" s="488">
        <v>2208</v>
      </c>
    </row>
    <row r="28" spans="1:16" ht="15">
      <c r="A28" s="484">
        <v>18</v>
      </c>
      <c r="B28" s="485" t="s">
        <v>896</v>
      </c>
      <c r="C28" s="486">
        <f>'AT-3'!F18</f>
        <v>2252</v>
      </c>
      <c r="D28" s="487">
        <v>1978.8333333333333</v>
      </c>
      <c r="E28" s="488">
        <v>1595</v>
      </c>
      <c r="F28" s="488">
        <v>1529</v>
      </c>
      <c r="G28" s="488">
        <v>2029</v>
      </c>
      <c r="H28" s="488">
        <v>2084</v>
      </c>
      <c r="I28" s="488">
        <v>2115</v>
      </c>
      <c r="J28" s="488">
        <v>2100</v>
      </c>
      <c r="K28" s="488">
        <v>2058</v>
      </c>
      <c r="L28" s="488">
        <v>2043</v>
      </c>
      <c r="M28" s="488">
        <v>2061</v>
      </c>
      <c r="N28" s="488">
        <v>2024</v>
      </c>
      <c r="O28" s="488">
        <v>2062</v>
      </c>
      <c r="P28" s="488">
        <v>2046</v>
      </c>
    </row>
    <row r="29" spans="1:16" ht="15">
      <c r="A29" s="484">
        <v>19</v>
      </c>
      <c r="B29" s="485" t="s">
        <v>897</v>
      </c>
      <c r="C29" s="486">
        <f>'AT-3'!F16</f>
        <v>1954</v>
      </c>
      <c r="D29" s="487">
        <v>1658.25</v>
      </c>
      <c r="E29" s="488">
        <v>1386</v>
      </c>
      <c r="F29" s="488">
        <v>1387</v>
      </c>
      <c r="G29" s="488">
        <v>1434</v>
      </c>
      <c r="H29" s="488">
        <v>1579</v>
      </c>
      <c r="I29" s="488">
        <v>1697</v>
      </c>
      <c r="J29" s="488">
        <v>1692</v>
      </c>
      <c r="K29" s="488">
        <v>1673</v>
      </c>
      <c r="L29" s="488">
        <v>1669</v>
      </c>
      <c r="M29" s="488">
        <v>1816</v>
      </c>
      <c r="N29" s="488">
        <v>1861</v>
      </c>
      <c r="O29" s="488">
        <v>1861</v>
      </c>
      <c r="P29" s="488">
        <v>1844</v>
      </c>
    </row>
    <row r="30" spans="1:16" ht="15">
      <c r="A30" s="484">
        <v>20</v>
      </c>
      <c r="B30" s="485" t="s">
        <v>898</v>
      </c>
      <c r="C30" s="486">
        <f>'AT-3'!F23</f>
        <v>700</v>
      </c>
      <c r="D30" s="487">
        <v>585</v>
      </c>
      <c r="E30" s="488">
        <v>458</v>
      </c>
      <c r="F30" s="488">
        <v>571</v>
      </c>
      <c r="G30" s="488">
        <v>532</v>
      </c>
      <c r="H30" s="488">
        <v>541</v>
      </c>
      <c r="I30" s="488">
        <v>585</v>
      </c>
      <c r="J30" s="488">
        <v>583</v>
      </c>
      <c r="K30" s="488">
        <v>558</v>
      </c>
      <c r="L30" s="488">
        <v>518</v>
      </c>
      <c r="M30" s="488">
        <v>620</v>
      </c>
      <c r="N30" s="488">
        <v>696</v>
      </c>
      <c r="O30" s="488">
        <v>687</v>
      </c>
      <c r="P30" s="488">
        <v>671</v>
      </c>
    </row>
    <row r="31" spans="1:16" ht="15">
      <c r="A31" s="484">
        <v>21</v>
      </c>
      <c r="B31" s="485" t="s">
        <v>899</v>
      </c>
      <c r="C31" s="486">
        <f>'AT-3'!F11</f>
        <v>2486</v>
      </c>
      <c r="D31" s="487">
        <v>1806.1666666666667</v>
      </c>
      <c r="E31" s="488">
        <v>1281</v>
      </c>
      <c r="F31" s="488">
        <v>1285</v>
      </c>
      <c r="G31" s="488">
        <v>1367</v>
      </c>
      <c r="H31" s="488">
        <v>1441</v>
      </c>
      <c r="I31" s="488">
        <v>1742</v>
      </c>
      <c r="J31" s="488">
        <v>1720</v>
      </c>
      <c r="K31" s="488">
        <v>1751</v>
      </c>
      <c r="L31" s="488">
        <v>1904</v>
      </c>
      <c r="M31" s="488">
        <v>2289</v>
      </c>
      <c r="N31" s="488">
        <v>2280</v>
      </c>
      <c r="O31" s="488">
        <v>2329</v>
      </c>
      <c r="P31" s="488">
        <v>2285</v>
      </c>
    </row>
    <row r="32" spans="1:16" ht="15">
      <c r="A32" s="484">
        <v>22</v>
      </c>
      <c r="B32" s="485" t="s">
        <v>900</v>
      </c>
      <c r="C32" s="486">
        <f>'AT-3'!F31</f>
        <v>1438</v>
      </c>
      <c r="D32" s="487">
        <v>1098.0833333333333</v>
      </c>
      <c r="E32" s="488">
        <v>956</v>
      </c>
      <c r="F32" s="488">
        <v>1149</v>
      </c>
      <c r="G32" s="488">
        <v>1115</v>
      </c>
      <c r="H32" s="488">
        <v>1003</v>
      </c>
      <c r="I32" s="488">
        <v>1110</v>
      </c>
      <c r="J32" s="488">
        <v>1065</v>
      </c>
      <c r="K32" s="488">
        <v>1010</v>
      </c>
      <c r="L32" s="488">
        <v>1004</v>
      </c>
      <c r="M32" s="488">
        <v>1184</v>
      </c>
      <c r="N32" s="488">
        <v>1144</v>
      </c>
      <c r="O32" s="488">
        <v>1221</v>
      </c>
      <c r="P32" s="488">
        <v>1216</v>
      </c>
    </row>
    <row r="33" spans="1:16" ht="15">
      <c r="A33" s="484">
        <v>23</v>
      </c>
      <c r="B33" s="485" t="s">
        <v>901</v>
      </c>
      <c r="C33" s="486">
        <f>'AT-3'!F17</f>
        <v>1660</v>
      </c>
      <c r="D33" s="487">
        <v>1398.1666666666667</v>
      </c>
      <c r="E33" s="488">
        <v>849</v>
      </c>
      <c r="F33" s="488">
        <v>937</v>
      </c>
      <c r="G33" s="488">
        <v>1143</v>
      </c>
      <c r="H33" s="488">
        <v>1499</v>
      </c>
      <c r="I33" s="488">
        <v>1542</v>
      </c>
      <c r="J33" s="488">
        <v>1561</v>
      </c>
      <c r="K33" s="488">
        <v>1535</v>
      </c>
      <c r="L33" s="488">
        <v>1570</v>
      </c>
      <c r="M33" s="488">
        <v>1570</v>
      </c>
      <c r="N33" s="488">
        <v>1586</v>
      </c>
      <c r="O33" s="488">
        <v>1520</v>
      </c>
      <c r="P33" s="488">
        <v>1466</v>
      </c>
    </row>
    <row r="34" spans="1:16" ht="15">
      <c r="A34" s="484">
        <v>24</v>
      </c>
      <c r="B34" s="485" t="s">
        <v>902</v>
      </c>
      <c r="C34" s="486">
        <f>'AT-3'!F15</f>
        <v>1078</v>
      </c>
      <c r="D34" s="487">
        <v>726.75</v>
      </c>
      <c r="E34" s="488">
        <v>561</v>
      </c>
      <c r="F34" s="488">
        <v>578</v>
      </c>
      <c r="G34" s="488">
        <v>575</v>
      </c>
      <c r="H34" s="488">
        <v>598</v>
      </c>
      <c r="I34" s="488">
        <v>698</v>
      </c>
      <c r="J34" s="488">
        <v>699</v>
      </c>
      <c r="K34" s="488">
        <v>694</v>
      </c>
      <c r="L34" s="488">
        <v>679</v>
      </c>
      <c r="M34" s="488">
        <v>717</v>
      </c>
      <c r="N34" s="488">
        <v>860</v>
      </c>
      <c r="O34" s="488">
        <v>1023</v>
      </c>
      <c r="P34" s="488">
        <v>1039</v>
      </c>
    </row>
    <row r="35" spans="1:16" ht="12.75">
      <c r="A35" s="718" t="s">
        <v>13</v>
      </c>
      <c r="B35" s="718"/>
      <c r="C35" s="489">
        <f>SUM(C11:C34)</f>
        <v>39740</v>
      </c>
      <c r="D35" s="490">
        <f>SUM(D11:D34)</f>
        <v>31171.166666666664</v>
      </c>
      <c r="E35" s="159">
        <f>SUM(E11:E34)</f>
        <v>26542</v>
      </c>
      <c r="F35" s="159">
        <f aca="true" t="shared" si="0" ref="F35:P35">SUM(F11:F34)</f>
        <v>27541</v>
      </c>
      <c r="G35" s="159">
        <f t="shared" si="0"/>
        <v>28213</v>
      </c>
      <c r="H35" s="159">
        <f t="shared" si="0"/>
        <v>29392</v>
      </c>
      <c r="I35" s="159">
        <f t="shared" si="0"/>
        <v>31698</v>
      </c>
      <c r="J35" s="159">
        <f t="shared" si="0"/>
        <v>31182</v>
      </c>
      <c r="K35" s="159">
        <f t="shared" si="0"/>
        <v>30166</v>
      </c>
      <c r="L35" s="159">
        <f t="shared" si="0"/>
        <v>29847</v>
      </c>
      <c r="M35" s="159">
        <f t="shared" si="0"/>
        <v>33424</v>
      </c>
      <c r="N35" s="159">
        <f t="shared" si="0"/>
        <v>34995</v>
      </c>
      <c r="O35" s="159">
        <f t="shared" si="0"/>
        <v>36057</v>
      </c>
      <c r="P35" s="159">
        <f t="shared" si="0"/>
        <v>34997</v>
      </c>
    </row>
    <row r="38" spans="8:13" ht="12.75">
      <c r="H38" s="161"/>
      <c r="I38" s="161"/>
      <c r="J38" s="161"/>
      <c r="K38" s="161"/>
      <c r="L38" s="161"/>
      <c r="M38" s="161"/>
    </row>
    <row r="39" spans="8:13" ht="12.75">
      <c r="H39" s="161"/>
      <c r="I39" s="161"/>
      <c r="J39" s="161"/>
      <c r="K39" s="161"/>
      <c r="L39" s="161"/>
      <c r="M39" s="161"/>
    </row>
    <row r="40" spans="8:13" ht="12.75">
      <c r="H40" s="161"/>
      <c r="I40" s="161"/>
      <c r="J40" s="161"/>
      <c r="K40" s="161"/>
      <c r="L40" s="161"/>
      <c r="M40" s="161"/>
    </row>
    <row r="41" spans="2:15" ht="12.75">
      <c r="B41" s="358" t="s">
        <v>989</v>
      </c>
      <c r="C41" s="359"/>
      <c r="D41" s="359"/>
      <c r="E41" s="12"/>
      <c r="F41" s="12"/>
      <c r="G41" s="559" t="s">
        <v>990</v>
      </c>
      <c r="H41" s="559"/>
      <c r="I41" s="559"/>
      <c r="J41" s="559"/>
      <c r="K41" s="359"/>
      <c r="L41" s="359"/>
      <c r="M41" s="559" t="s">
        <v>996</v>
      </c>
      <c r="N41" s="559"/>
      <c r="O41" s="559"/>
    </row>
    <row r="42" spans="2:15" ht="12.75">
      <c r="B42" s="358" t="s">
        <v>991</v>
      </c>
      <c r="C42" s="359"/>
      <c r="D42" s="359"/>
      <c r="E42" s="12"/>
      <c r="F42" s="12"/>
      <c r="G42" s="559" t="s">
        <v>992</v>
      </c>
      <c r="H42" s="559"/>
      <c r="I42" s="559"/>
      <c r="J42" s="559"/>
      <c r="K42" s="359"/>
      <c r="L42" s="359"/>
      <c r="M42" s="559" t="s">
        <v>993</v>
      </c>
      <c r="N42" s="559"/>
      <c r="O42" s="559"/>
    </row>
    <row r="43" spans="1:15" ht="12.75">
      <c r="A43" s="12"/>
      <c r="B43" s="358" t="s">
        <v>994</v>
      </c>
      <c r="C43" s="359"/>
      <c r="D43" s="359"/>
      <c r="E43" s="12"/>
      <c r="F43" s="12"/>
      <c r="G43" s="559" t="s">
        <v>995</v>
      </c>
      <c r="H43" s="559"/>
      <c r="I43" s="559"/>
      <c r="J43" s="559"/>
      <c r="K43" s="359"/>
      <c r="L43" s="359"/>
      <c r="M43" s="559" t="s">
        <v>995</v>
      </c>
      <c r="N43" s="559"/>
      <c r="O43" s="559"/>
    </row>
  </sheetData>
  <sheetProtection/>
  <mergeCells count="18">
    <mergeCell ref="G41:J41"/>
    <mergeCell ref="M41:O41"/>
    <mergeCell ref="A35:B35"/>
    <mergeCell ref="A8:A9"/>
    <mergeCell ref="B8:B9"/>
    <mergeCell ref="C8:C9"/>
    <mergeCell ref="D8:D9"/>
    <mergeCell ref="E8:P8"/>
    <mergeCell ref="G42:J42"/>
    <mergeCell ref="M42:O42"/>
    <mergeCell ref="G43:J43"/>
    <mergeCell ref="M43:O43"/>
    <mergeCell ref="H1:I1"/>
    <mergeCell ref="L1:M1"/>
    <mergeCell ref="K7:P7"/>
    <mergeCell ref="A4:P4"/>
    <mergeCell ref="A3:P3"/>
    <mergeCell ref="A2:P2"/>
  </mergeCells>
  <hyperlinks>
    <hyperlink ref="B11" display="BOKARO"/>
    <hyperlink ref="B12" display="CHATRA"/>
    <hyperlink ref="B13" display="DEOGHAR"/>
    <hyperlink ref="B14" display="DHANBAD"/>
    <hyperlink ref="B15" display="DUMKA"/>
    <hyperlink ref="B16" display="GARHWA"/>
    <hyperlink ref="B17" display="GIRIDIH"/>
    <hyperlink ref="B18" display="GODDA"/>
    <hyperlink ref="B19" display="GUMLA"/>
    <hyperlink ref="B20" display="HAZARIBAG"/>
    <hyperlink ref="B21" display="JAMTARA"/>
    <hyperlink ref="B22" display="KHUNTI"/>
    <hyperlink ref="B23" display="KODARMA"/>
    <hyperlink ref="B24" display="LATEHAR"/>
    <hyperlink ref="B25" display="LOHARDAGA"/>
    <hyperlink ref="B26" display="PAKAUR"/>
    <hyperlink ref="B27" display="PALAMU"/>
    <hyperlink ref="B28" display="PASHCHIMI SINGHBHUM"/>
    <hyperlink ref="B29" display="PURBI SINGHBHUM"/>
    <hyperlink ref="B30" display="RAMGARH"/>
    <hyperlink ref="B31" display="RANCHI"/>
    <hyperlink ref="B32" display="SAHIBGANJ"/>
    <hyperlink ref="B33" display="SARAIKELA-KHARSAWAN"/>
    <hyperlink ref="B34" display="SIMDEGA"/>
  </hyperlink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52.xml><?xml version="1.0" encoding="utf-8"?>
<worksheet xmlns="http://schemas.openxmlformats.org/spreadsheetml/2006/main" xmlns:r="http://schemas.openxmlformats.org/officeDocument/2006/relationships">
  <sheetPr>
    <tabColor rgb="FF92D050"/>
    <pageSetUpPr fitToPage="1"/>
  </sheetPr>
  <dimension ref="A1:P40"/>
  <sheetViews>
    <sheetView view="pageBreakPreview" zoomScale="70" zoomScaleNormal="80" zoomScaleSheetLayoutView="70" zoomScalePageLayoutView="0" workbookViewId="0" topLeftCell="A1">
      <selection activeCell="S53" sqref="S53"/>
    </sheetView>
  </sheetViews>
  <sheetFormatPr defaultColWidth="9.140625" defaultRowHeight="12.75"/>
  <cols>
    <col min="1" max="1" width="9.140625" style="12" customWidth="1"/>
    <col min="2" max="2" width="18.421875" style="12" customWidth="1"/>
    <col min="3" max="6" width="13.7109375" style="12" customWidth="1"/>
    <col min="7" max="7" width="14.57421875" style="12" customWidth="1"/>
    <col min="8" max="8" width="14.7109375" style="12" customWidth="1"/>
    <col min="9" max="12" width="13.57421875" style="12" customWidth="1"/>
    <col min="13" max="13" width="15.421875" style="12" customWidth="1"/>
    <col min="14" max="16384" width="9.140625" style="12" customWidth="1"/>
  </cols>
  <sheetData>
    <row r="1" spans="10:16" ht="18">
      <c r="J1" s="171"/>
      <c r="K1" s="171"/>
      <c r="L1" s="887" t="s">
        <v>538</v>
      </c>
      <c r="M1" s="887"/>
      <c r="N1" s="171"/>
      <c r="O1" s="171"/>
      <c r="P1" s="171"/>
    </row>
    <row r="2" spans="1:16" ht="18">
      <c r="A2" s="772" t="s">
        <v>0</v>
      </c>
      <c r="B2" s="772"/>
      <c r="C2" s="772"/>
      <c r="D2" s="772"/>
      <c r="E2" s="772"/>
      <c r="F2" s="772"/>
      <c r="G2" s="772"/>
      <c r="H2" s="772"/>
      <c r="I2" s="772"/>
      <c r="J2" s="772"/>
      <c r="K2" s="772"/>
      <c r="L2" s="772"/>
      <c r="M2" s="772"/>
      <c r="N2" s="171"/>
      <c r="O2" s="171"/>
      <c r="P2" s="171"/>
    </row>
    <row r="3" spans="1:16" ht="21">
      <c r="A3" s="676" t="s">
        <v>645</v>
      </c>
      <c r="B3" s="676"/>
      <c r="C3" s="676"/>
      <c r="D3" s="676"/>
      <c r="E3" s="676"/>
      <c r="F3" s="676"/>
      <c r="G3" s="676"/>
      <c r="H3" s="676"/>
      <c r="I3" s="676"/>
      <c r="J3" s="676"/>
      <c r="K3" s="676"/>
      <c r="L3" s="676"/>
      <c r="M3" s="676"/>
      <c r="N3" s="172"/>
      <c r="O3" s="172"/>
      <c r="P3" s="172"/>
    </row>
    <row r="4" spans="3:16" ht="21">
      <c r="C4" s="142"/>
      <c r="D4" s="142"/>
      <c r="E4" s="142"/>
      <c r="F4" s="142"/>
      <c r="G4" s="142"/>
      <c r="H4" s="142"/>
      <c r="I4" s="142"/>
      <c r="J4" s="142"/>
      <c r="K4" s="142"/>
      <c r="L4" s="142"/>
      <c r="M4" s="142"/>
      <c r="N4" s="172"/>
      <c r="O4" s="172"/>
      <c r="P4" s="172"/>
    </row>
    <row r="5" spans="1:13" ht="21">
      <c r="A5" s="902" t="s">
        <v>537</v>
      </c>
      <c r="B5" s="902"/>
      <c r="C5" s="902"/>
      <c r="D5" s="902"/>
      <c r="E5" s="902"/>
      <c r="F5" s="902"/>
      <c r="G5" s="902"/>
      <c r="H5" s="902"/>
      <c r="I5" s="902"/>
      <c r="J5" s="902"/>
      <c r="K5" s="902"/>
      <c r="L5" s="902"/>
      <c r="M5" s="902"/>
    </row>
    <row r="6" spans="1:14" ht="20.25" customHeight="1">
      <c r="A6" s="903" t="s">
        <v>158</v>
      </c>
      <c r="B6" s="903"/>
      <c r="C6" s="903"/>
      <c r="D6" s="903"/>
      <c r="E6" s="903"/>
      <c r="F6" s="903"/>
      <c r="G6" s="903"/>
      <c r="H6" s="689" t="s">
        <v>959</v>
      </c>
      <c r="I6" s="689"/>
      <c r="J6" s="689"/>
      <c r="K6" s="689"/>
      <c r="L6" s="689"/>
      <c r="M6" s="689"/>
      <c r="N6" s="86"/>
    </row>
    <row r="7" spans="1:14" ht="14.25">
      <c r="A7" s="774" t="s">
        <v>68</v>
      </c>
      <c r="B7" s="774" t="s">
        <v>299</v>
      </c>
      <c r="C7" s="904" t="s">
        <v>421</v>
      </c>
      <c r="D7" s="905"/>
      <c r="E7" s="905"/>
      <c r="F7" s="905"/>
      <c r="G7" s="906"/>
      <c r="H7" s="773" t="s">
        <v>418</v>
      </c>
      <c r="I7" s="773"/>
      <c r="J7" s="773"/>
      <c r="K7" s="773"/>
      <c r="L7" s="773"/>
      <c r="M7" s="773" t="s">
        <v>300</v>
      </c>
      <c r="N7" s="17"/>
    </row>
    <row r="8" spans="1:13" ht="42.75">
      <c r="A8" s="776"/>
      <c r="B8" s="776"/>
      <c r="C8" s="480" t="s">
        <v>301</v>
      </c>
      <c r="D8" s="480" t="s">
        <v>302</v>
      </c>
      <c r="E8" s="480" t="s">
        <v>303</v>
      </c>
      <c r="F8" s="480" t="s">
        <v>304</v>
      </c>
      <c r="G8" s="479" t="s">
        <v>305</v>
      </c>
      <c r="H8" s="479" t="s">
        <v>417</v>
      </c>
      <c r="I8" s="479" t="s">
        <v>422</v>
      </c>
      <c r="J8" s="479" t="s">
        <v>419</v>
      </c>
      <c r="K8" s="479" t="s">
        <v>420</v>
      </c>
      <c r="L8" s="479" t="s">
        <v>41</v>
      </c>
      <c r="M8" s="773"/>
    </row>
    <row r="9" spans="1:13" ht="15">
      <c r="A9" s="481">
        <v>1</v>
      </c>
      <c r="B9" s="481">
        <v>2</v>
      </c>
      <c r="C9" s="481">
        <v>3</v>
      </c>
      <c r="D9" s="481">
        <v>4</v>
      </c>
      <c r="E9" s="481">
        <v>5</v>
      </c>
      <c r="F9" s="481">
        <v>6</v>
      </c>
      <c r="G9" s="481">
        <v>7</v>
      </c>
      <c r="H9" s="481">
        <v>8</v>
      </c>
      <c r="I9" s="481">
        <v>9</v>
      </c>
      <c r="J9" s="481">
        <v>10</v>
      </c>
      <c r="K9" s="481">
        <v>11</v>
      </c>
      <c r="L9" s="481">
        <v>12</v>
      </c>
      <c r="M9" s="481">
        <v>13</v>
      </c>
    </row>
    <row r="10" spans="1:13" ht="15">
      <c r="A10" s="482">
        <v>1</v>
      </c>
      <c r="B10" s="224" t="s">
        <v>831</v>
      </c>
      <c r="C10" s="907" t="s">
        <v>903</v>
      </c>
      <c r="D10" s="908"/>
      <c r="E10" s="908"/>
      <c r="F10" s="908"/>
      <c r="G10" s="908"/>
      <c r="H10" s="908"/>
      <c r="I10" s="908"/>
      <c r="J10" s="908"/>
      <c r="K10" s="908"/>
      <c r="L10" s="908"/>
      <c r="M10" s="908"/>
    </row>
    <row r="11" spans="1:13" ht="15">
      <c r="A11" s="482">
        <v>2</v>
      </c>
      <c r="B11" s="224" t="s">
        <v>832</v>
      </c>
      <c r="C11" s="908"/>
      <c r="D11" s="908"/>
      <c r="E11" s="908"/>
      <c r="F11" s="908"/>
      <c r="G11" s="908"/>
      <c r="H11" s="908"/>
      <c r="I11" s="908"/>
      <c r="J11" s="908"/>
      <c r="K11" s="908"/>
      <c r="L11" s="908"/>
      <c r="M11" s="908"/>
    </row>
    <row r="12" spans="1:13" ht="15">
      <c r="A12" s="482">
        <v>3</v>
      </c>
      <c r="B12" s="224" t="s">
        <v>833</v>
      </c>
      <c r="C12" s="908"/>
      <c r="D12" s="908"/>
      <c r="E12" s="908"/>
      <c r="F12" s="908"/>
      <c r="G12" s="908"/>
      <c r="H12" s="908"/>
      <c r="I12" s="908"/>
      <c r="J12" s="908"/>
      <c r="K12" s="908"/>
      <c r="L12" s="908"/>
      <c r="M12" s="908"/>
    </row>
    <row r="13" spans="1:13" ht="15">
      <c r="A13" s="482">
        <v>4</v>
      </c>
      <c r="B13" s="224" t="s">
        <v>834</v>
      </c>
      <c r="C13" s="908"/>
      <c r="D13" s="908"/>
      <c r="E13" s="908"/>
      <c r="F13" s="908"/>
      <c r="G13" s="908"/>
      <c r="H13" s="908"/>
      <c r="I13" s="908"/>
      <c r="J13" s="908"/>
      <c r="K13" s="908"/>
      <c r="L13" s="908"/>
      <c r="M13" s="908"/>
    </row>
    <row r="14" spans="1:13" ht="15">
      <c r="A14" s="482">
        <v>5</v>
      </c>
      <c r="B14" s="224" t="s">
        <v>835</v>
      </c>
      <c r="C14" s="908"/>
      <c r="D14" s="908"/>
      <c r="E14" s="908"/>
      <c r="F14" s="908"/>
      <c r="G14" s="908"/>
      <c r="H14" s="908"/>
      <c r="I14" s="908"/>
      <c r="J14" s="908"/>
      <c r="K14" s="908"/>
      <c r="L14" s="908"/>
      <c r="M14" s="908"/>
    </row>
    <row r="15" spans="1:13" ht="15">
      <c r="A15" s="482">
        <v>6</v>
      </c>
      <c r="B15" s="224" t="s">
        <v>836</v>
      </c>
      <c r="C15" s="908"/>
      <c r="D15" s="908"/>
      <c r="E15" s="908"/>
      <c r="F15" s="908"/>
      <c r="G15" s="908"/>
      <c r="H15" s="908"/>
      <c r="I15" s="908"/>
      <c r="J15" s="908"/>
      <c r="K15" s="908"/>
      <c r="L15" s="908"/>
      <c r="M15" s="908"/>
    </row>
    <row r="16" spans="1:13" ht="15">
      <c r="A16" s="482">
        <v>7</v>
      </c>
      <c r="B16" s="224" t="s">
        <v>837</v>
      </c>
      <c r="C16" s="908"/>
      <c r="D16" s="908"/>
      <c r="E16" s="908"/>
      <c r="F16" s="908"/>
      <c r="G16" s="908"/>
      <c r="H16" s="908"/>
      <c r="I16" s="908"/>
      <c r="J16" s="908"/>
      <c r="K16" s="908"/>
      <c r="L16" s="908"/>
      <c r="M16" s="908"/>
    </row>
    <row r="17" spans="1:13" ht="15">
      <c r="A17" s="482">
        <v>8</v>
      </c>
      <c r="B17" s="224" t="s">
        <v>838</v>
      </c>
      <c r="C17" s="908"/>
      <c r="D17" s="908"/>
      <c r="E17" s="908"/>
      <c r="F17" s="908"/>
      <c r="G17" s="908"/>
      <c r="H17" s="908"/>
      <c r="I17" s="908"/>
      <c r="J17" s="908"/>
      <c r="K17" s="908"/>
      <c r="L17" s="908"/>
      <c r="M17" s="908"/>
    </row>
    <row r="18" spans="1:13" ht="15">
      <c r="A18" s="482">
        <v>9</v>
      </c>
      <c r="B18" s="224" t="s">
        <v>839</v>
      </c>
      <c r="C18" s="908"/>
      <c r="D18" s="908"/>
      <c r="E18" s="908"/>
      <c r="F18" s="908"/>
      <c r="G18" s="908"/>
      <c r="H18" s="908"/>
      <c r="I18" s="908"/>
      <c r="J18" s="908"/>
      <c r="K18" s="908"/>
      <c r="L18" s="908"/>
      <c r="M18" s="908"/>
    </row>
    <row r="19" spans="1:13" ht="15">
      <c r="A19" s="482">
        <v>10</v>
      </c>
      <c r="B19" s="224" t="s">
        <v>840</v>
      </c>
      <c r="C19" s="908"/>
      <c r="D19" s="908"/>
      <c r="E19" s="908"/>
      <c r="F19" s="908"/>
      <c r="G19" s="908"/>
      <c r="H19" s="908"/>
      <c r="I19" s="908"/>
      <c r="J19" s="908"/>
      <c r="K19" s="908"/>
      <c r="L19" s="908"/>
      <c r="M19" s="908"/>
    </row>
    <row r="20" spans="1:13" ht="15">
      <c r="A20" s="482">
        <v>11</v>
      </c>
      <c r="B20" s="224" t="s">
        <v>841</v>
      </c>
      <c r="C20" s="908"/>
      <c r="D20" s="908"/>
      <c r="E20" s="908"/>
      <c r="F20" s="908"/>
      <c r="G20" s="908"/>
      <c r="H20" s="908"/>
      <c r="I20" s="908"/>
      <c r="J20" s="908"/>
      <c r="K20" s="908"/>
      <c r="L20" s="908"/>
      <c r="M20" s="908"/>
    </row>
    <row r="21" spans="1:13" ht="15">
      <c r="A21" s="482">
        <v>12</v>
      </c>
      <c r="B21" s="224" t="s">
        <v>842</v>
      </c>
      <c r="C21" s="908"/>
      <c r="D21" s="908"/>
      <c r="E21" s="908"/>
      <c r="F21" s="908"/>
      <c r="G21" s="908"/>
      <c r="H21" s="908"/>
      <c r="I21" s="908"/>
      <c r="J21" s="908"/>
      <c r="K21" s="908"/>
      <c r="L21" s="908"/>
      <c r="M21" s="908"/>
    </row>
    <row r="22" spans="1:13" ht="15">
      <c r="A22" s="482">
        <v>13</v>
      </c>
      <c r="B22" s="224" t="s">
        <v>843</v>
      </c>
      <c r="C22" s="908"/>
      <c r="D22" s="908"/>
      <c r="E22" s="908"/>
      <c r="F22" s="908"/>
      <c r="G22" s="908"/>
      <c r="H22" s="908"/>
      <c r="I22" s="908"/>
      <c r="J22" s="908"/>
      <c r="K22" s="908"/>
      <c r="L22" s="908"/>
      <c r="M22" s="908"/>
    </row>
    <row r="23" spans="1:13" ht="15">
      <c r="A23" s="482">
        <v>14</v>
      </c>
      <c r="B23" s="224" t="s">
        <v>844</v>
      </c>
      <c r="C23" s="908"/>
      <c r="D23" s="908"/>
      <c r="E23" s="908"/>
      <c r="F23" s="908"/>
      <c r="G23" s="908"/>
      <c r="H23" s="908"/>
      <c r="I23" s="908"/>
      <c r="J23" s="908"/>
      <c r="K23" s="908"/>
      <c r="L23" s="908"/>
      <c r="M23" s="908"/>
    </row>
    <row r="24" spans="1:13" ht="15">
      <c r="A24" s="482">
        <v>15</v>
      </c>
      <c r="B24" s="224" t="s">
        <v>845</v>
      </c>
      <c r="C24" s="908"/>
      <c r="D24" s="908"/>
      <c r="E24" s="908"/>
      <c r="F24" s="908"/>
      <c r="G24" s="908"/>
      <c r="H24" s="908"/>
      <c r="I24" s="908"/>
      <c r="J24" s="908"/>
      <c r="K24" s="908"/>
      <c r="L24" s="908"/>
      <c r="M24" s="908"/>
    </row>
    <row r="25" spans="1:13" ht="15">
      <c r="A25" s="482">
        <v>16</v>
      </c>
      <c r="B25" s="224" t="s">
        <v>846</v>
      </c>
      <c r="C25" s="908"/>
      <c r="D25" s="908"/>
      <c r="E25" s="908"/>
      <c r="F25" s="908"/>
      <c r="G25" s="908"/>
      <c r="H25" s="908"/>
      <c r="I25" s="908"/>
      <c r="J25" s="908"/>
      <c r="K25" s="908"/>
      <c r="L25" s="908"/>
      <c r="M25" s="908"/>
    </row>
    <row r="26" spans="1:13" ht="15">
      <c r="A26" s="482">
        <v>17</v>
      </c>
      <c r="B26" s="224" t="s">
        <v>847</v>
      </c>
      <c r="C26" s="908"/>
      <c r="D26" s="908"/>
      <c r="E26" s="908"/>
      <c r="F26" s="908"/>
      <c r="G26" s="908"/>
      <c r="H26" s="908"/>
      <c r="I26" s="908"/>
      <c r="J26" s="908"/>
      <c r="K26" s="908"/>
      <c r="L26" s="908"/>
      <c r="M26" s="908"/>
    </row>
    <row r="27" spans="1:13" ht="15">
      <c r="A27" s="482">
        <v>18</v>
      </c>
      <c r="B27" s="224" t="s">
        <v>848</v>
      </c>
      <c r="C27" s="908"/>
      <c r="D27" s="908"/>
      <c r="E27" s="908"/>
      <c r="F27" s="908"/>
      <c r="G27" s="908"/>
      <c r="H27" s="908"/>
      <c r="I27" s="908"/>
      <c r="J27" s="908"/>
      <c r="K27" s="908"/>
      <c r="L27" s="908"/>
      <c r="M27" s="908"/>
    </row>
    <row r="28" spans="1:13" ht="15">
      <c r="A28" s="482">
        <v>19</v>
      </c>
      <c r="B28" s="224" t="s">
        <v>849</v>
      </c>
      <c r="C28" s="908"/>
      <c r="D28" s="908"/>
      <c r="E28" s="908"/>
      <c r="F28" s="908"/>
      <c r="G28" s="908"/>
      <c r="H28" s="908"/>
      <c r="I28" s="908"/>
      <c r="J28" s="908"/>
      <c r="K28" s="908"/>
      <c r="L28" s="908"/>
      <c r="M28" s="908"/>
    </row>
    <row r="29" spans="1:13" ht="15">
      <c r="A29" s="482">
        <v>20</v>
      </c>
      <c r="B29" s="224" t="s">
        <v>850</v>
      </c>
      <c r="C29" s="908"/>
      <c r="D29" s="908"/>
      <c r="E29" s="908"/>
      <c r="F29" s="908"/>
      <c r="G29" s="908"/>
      <c r="H29" s="908"/>
      <c r="I29" s="908"/>
      <c r="J29" s="908"/>
      <c r="K29" s="908"/>
      <c r="L29" s="908"/>
      <c r="M29" s="908"/>
    </row>
    <row r="30" spans="1:13" ht="15">
      <c r="A30" s="482">
        <v>21</v>
      </c>
      <c r="B30" s="224" t="s">
        <v>851</v>
      </c>
      <c r="C30" s="908"/>
      <c r="D30" s="908"/>
      <c r="E30" s="908"/>
      <c r="F30" s="908"/>
      <c r="G30" s="908"/>
      <c r="H30" s="908"/>
      <c r="I30" s="908"/>
      <c r="J30" s="908"/>
      <c r="K30" s="908"/>
      <c r="L30" s="908"/>
      <c r="M30" s="908"/>
    </row>
    <row r="31" spans="1:13" ht="15">
      <c r="A31" s="482">
        <v>22</v>
      </c>
      <c r="B31" s="224" t="s">
        <v>852</v>
      </c>
      <c r="C31" s="908"/>
      <c r="D31" s="908"/>
      <c r="E31" s="908"/>
      <c r="F31" s="908"/>
      <c r="G31" s="908"/>
      <c r="H31" s="908"/>
      <c r="I31" s="908"/>
      <c r="J31" s="908"/>
      <c r="K31" s="908"/>
      <c r="L31" s="908"/>
      <c r="M31" s="908"/>
    </row>
    <row r="32" spans="1:13" ht="15">
      <c r="A32" s="482">
        <v>23</v>
      </c>
      <c r="B32" s="224" t="s">
        <v>853</v>
      </c>
      <c r="C32" s="908"/>
      <c r="D32" s="908"/>
      <c r="E32" s="908"/>
      <c r="F32" s="908"/>
      <c r="G32" s="908"/>
      <c r="H32" s="908"/>
      <c r="I32" s="908"/>
      <c r="J32" s="908"/>
      <c r="K32" s="908"/>
      <c r="L32" s="908"/>
      <c r="M32" s="908"/>
    </row>
    <row r="33" spans="1:13" ht="15">
      <c r="A33" s="482">
        <v>24</v>
      </c>
      <c r="B33" s="224" t="s">
        <v>854</v>
      </c>
      <c r="C33" s="908"/>
      <c r="D33" s="908"/>
      <c r="E33" s="908"/>
      <c r="F33" s="908"/>
      <c r="G33" s="908"/>
      <c r="H33" s="908"/>
      <c r="I33" s="908"/>
      <c r="J33" s="908"/>
      <c r="K33" s="908"/>
      <c r="L33" s="908"/>
      <c r="M33" s="908"/>
    </row>
    <row r="34" spans="1:13" ht="12.75">
      <c r="A34" s="560" t="s">
        <v>13</v>
      </c>
      <c r="B34" s="561"/>
      <c r="C34" s="908"/>
      <c r="D34" s="908"/>
      <c r="E34" s="908"/>
      <c r="F34" s="908"/>
      <c r="G34" s="908"/>
      <c r="H34" s="908"/>
      <c r="I34" s="908"/>
      <c r="J34" s="908"/>
      <c r="K34" s="908"/>
      <c r="L34" s="908"/>
      <c r="M34" s="908"/>
    </row>
    <row r="35" spans="2:6" ht="16.5" customHeight="1">
      <c r="B35" s="369"/>
      <c r="C35" s="483"/>
      <c r="D35" s="483"/>
      <c r="E35" s="483"/>
      <c r="F35" s="483"/>
    </row>
    <row r="37" spans="1:12" ht="12.75">
      <c r="A37" s="148"/>
      <c r="B37" s="148"/>
      <c r="C37" s="148"/>
      <c r="D37" s="148"/>
      <c r="G37" s="161"/>
      <c r="H37" s="161"/>
      <c r="I37" s="149"/>
      <c r="J37" s="149"/>
      <c r="K37" s="149"/>
      <c r="L37" s="149"/>
    </row>
    <row r="38" spans="1:13" ht="15" customHeight="1">
      <c r="A38" s="148"/>
      <c r="B38" s="559" t="s">
        <v>989</v>
      </c>
      <c r="C38" s="559"/>
      <c r="D38" s="559"/>
      <c r="G38" s="559" t="s">
        <v>990</v>
      </c>
      <c r="H38" s="559"/>
      <c r="J38" s="559" t="s">
        <v>996</v>
      </c>
      <c r="K38" s="559"/>
      <c r="L38" s="559"/>
      <c r="M38" s="161"/>
    </row>
    <row r="39" spans="1:13" ht="15" customHeight="1">
      <c r="A39" s="148"/>
      <c r="B39" s="559" t="s">
        <v>991</v>
      </c>
      <c r="C39" s="559"/>
      <c r="D39" s="559"/>
      <c r="G39" s="559" t="s">
        <v>992</v>
      </c>
      <c r="H39" s="559"/>
      <c r="J39" s="559" t="s">
        <v>993</v>
      </c>
      <c r="K39" s="559" t="s">
        <v>993</v>
      </c>
      <c r="L39" s="559"/>
      <c r="M39" s="161"/>
    </row>
    <row r="40" spans="1:12" ht="12.75" customHeight="1">
      <c r="A40" s="148"/>
      <c r="B40" s="559" t="s">
        <v>994</v>
      </c>
      <c r="C40" s="559"/>
      <c r="D40" s="559"/>
      <c r="G40" s="559" t="s">
        <v>995</v>
      </c>
      <c r="H40" s="559"/>
      <c r="J40" s="559" t="s">
        <v>995</v>
      </c>
      <c r="K40" s="559" t="s">
        <v>995</v>
      </c>
      <c r="L40" s="559"/>
    </row>
  </sheetData>
  <sheetProtection/>
  <mergeCells count="22">
    <mergeCell ref="A34:B34"/>
    <mergeCell ref="C10:M34"/>
    <mergeCell ref="J38:L38"/>
    <mergeCell ref="G39:H39"/>
    <mergeCell ref="L1:M1"/>
    <mergeCell ref="H7:L7"/>
    <mergeCell ref="H6:M6"/>
    <mergeCell ref="A5:M5"/>
    <mergeCell ref="A6:G6"/>
    <mergeCell ref="B39:D39"/>
    <mergeCell ref="A2:M2"/>
    <mergeCell ref="C7:G7"/>
    <mergeCell ref="A3:M3"/>
    <mergeCell ref="B38:D38"/>
    <mergeCell ref="B40:D40"/>
    <mergeCell ref="J39:L39"/>
    <mergeCell ref="M7:M8"/>
    <mergeCell ref="A7:A8"/>
    <mergeCell ref="G40:H40"/>
    <mergeCell ref="G38:H38"/>
    <mergeCell ref="B7:B8"/>
    <mergeCell ref="J40:L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colBreaks count="1" manualBreakCount="1">
    <brk id="13" max="65535" man="1"/>
  </colBreaks>
</worksheet>
</file>

<file path=xl/worksheets/sheet53.xml><?xml version="1.0" encoding="utf-8"?>
<worksheet xmlns="http://schemas.openxmlformats.org/spreadsheetml/2006/main" xmlns:r="http://schemas.openxmlformats.org/officeDocument/2006/relationships">
  <sheetPr>
    <tabColor rgb="FF92D050"/>
    <pageSetUpPr fitToPage="1"/>
  </sheetPr>
  <dimension ref="A1:L50"/>
  <sheetViews>
    <sheetView view="pageBreakPreview" zoomScale="70" zoomScaleNormal="85" zoomScaleSheetLayoutView="70" zoomScalePageLayoutView="0" workbookViewId="0" topLeftCell="A4">
      <selection activeCell="P50" sqref="P50"/>
    </sheetView>
  </sheetViews>
  <sheetFormatPr defaultColWidth="9.140625" defaultRowHeight="12.75"/>
  <cols>
    <col min="1" max="1" width="36.00390625" style="12" customWidth="1"/>
    <col min="2" max="2" width="25.7109375" style="12" customWidth="1"/>
    <col min="3" max="3" width="21.8515625" style="12" customWidth="1"/>
    <col min="4" max="4" width="22.57421875" style="12" customWidth="1"/>
    <col min="5" max="5" width="19.421875" style="12" customWidth="1"/>
    <col min="6" max="6" width="17.421875" style="12" customWidth="1"/>
    <col min="7" max="16384" width="9.140625" style="12" customWidth="1"/>
  </cols>
  <sheetData>
    <row r="1" spans="6:12" ht="18">
      <c r="F1" s="465" t="s">
        <v>540</v>
      </c>
      <c r="G1" s="171"/>
      <c r="H1" s="171"/>
      <c r="I1" s="171"/>
      <c r="J1" s="171"/>
      <c r="K1" s="171"/>
      <c r="L1" s="171"/>
    </row>
    <row r="2" spans="1:12" ht="18">
      <c r="A2" s="772" t="s">
        <v>0</v>
      </c>
      <c r="B2" s="772"/>
      <c r="C2" s="772"/>
      <c r="D2" s="772"/>
      <c r="E2" s="772"/>
      <c r="F2" s="772"/>
      <c r="G2" s="772"/>
      <c r="H2" s="171"/>
      <c r="I2" s="171"/>
      <c r="J2" s="171"/>
      <c r="K2" s="171"/>
      <c r="L2" s="171"/>
    </row>
    <row r="3" spans="1:12" ht="21">
      <c r="A3" s="676" t="s">
        <v>645</v>
      </c>
      <c r="B3" s="676"/>
      <c r="C3" s="676"/>
      <c r="D3" s="676"/>
      <c r="E3" s="676"/>
      <c r="F3" s="676"/>
      <c r="G3" s="676"/>
      <c r="H3" s="172"/>
      <c r="I3" s="172"/>
      <c r="J3" s="172"/>
      <c r="K3" s="172"/>
      <c r="L3" s="172"/>
    </row>
    <row r="4" spans="1:6" ht="12.75">
      <c r="A4" s="98"/>
      <c r="B4" s="98"/>
      <c r="C4" s="98"/>
      <c r="D4" s="98"/>
      <c r="E4" s="98"/>
      <c r="F4" s="98"/>
    </row>
    <row r="5" spans="1:7" ht="18.75">
      <c r="A5" s="909" t="s">
        <v>539</v>
      </c>
      <c r="B5" s="909"/>
      <c r="C5" s="909"/>
      <c r="D5" s="909"/>
      <c r="E5" s="909"/>
      <c r="F5" s="909"/>
      <c r="G5" s="909"/>
    </row>
    <row r="6" spans="1:7" ht="18.75">
      <c r="A6" s="144" t="s">
        <v>262</v>
      </c>
      <c r="B6" s="466"/>
      <c r="C6" s="466"/>
      <c r="D6" s="466"/>
      <c r="E6" s="466"/>
      <c r="F6" s="466"/>
      <c r="G6" s="466"/>
    </row>
    <row r="7" spans="1:6" ht="31.5">
      <c r="A7" s="467"/>
      <c r="B7" s="468" t="s">
        <v>329</v>
      </c>
      <c r="C7" s="468" t="s">
        <v>330</v>
      </c>
      <c r="D7" s="468" t="s">
        <v>331</v>
      </c>
      <c r="E7" s="469"/>
      <c r="F7" s="469"/>
    </row>
    <row r="8" spans="1:6" ht="30" customHeight="1">
      <c r="A8" s="470" t="s">
        <v>332</v>
      </c>
      <c r="B8" s="279" t="s">
        <v>908</v>
      </c>
      <c r="C8" s="279" t="s">
        <v>909</v>
      </c>
      <c r="D8" s="279" t="s">
        <v>910</v>
      </c>
      <c r="E8" s="469"/>
      <c r="F8" s="469"/>
    </row>
    <row r="9" spans="1:6" ht="45">
      <c r="A9" s="470" t="s">
        <v>333</v>
      </c>
      <c r="B9" s="279" t="s">
        <v>904</v>
      </c>
      <c r="C9" s="279" t="s">
        <v>905</v>
      </c>
      <c r="D9" s="279" t="s">
        <v>906</v>
      </c>
      <c r="E9" s="469"/>
      <c r="F9" s="469"/>
    </row>
    <row r="10" spans="1:6" ht="31.5">
      <c r="A10" s="470" t="s">
        <v>334</v>
      </c>
      <c r="B10" s="471" t="s">
        <v>329</v>
      </c>
      <c r="C10" s="471" t="s">
        <v>330</v>
      </c>
      <c r="D10" s="471" t="s">
        <v>331</v>
      </c>
      <c r="E10" s="469"/>
      <c r="F10" s="469"/>
    </row>
    <row r="11" spans="1:6" ht="13.5" customHeight="1">
      <c r="A11" s="472" t="s">
        <v>1003</v>
      </c>
      <c r="B11" s="279" t="s">
        <v>907</v>
      </c>
      <c r="C11" s="279" t="s">
        <v>907</v>
      </c>
      <c r="D11" s="279" t="s">
        <v>907</v>
      </c>
      <c r="E11" s="469"/>
      <c r="F11" s="469"/>
    </row>
    <row r="12" spans="1:6" ht="13.5" customHeight="1">
      <c r="A12" s="472" t="s">
        <v>1004</v>
      </c>
      <c r="B12" s="279" t="s">
        <v>907</v>
      </c>
      <c r="C12" s="279" t="s">
        <v>907</v>
      </c>
      <c r="D12" s="279" t="s">
        <v>907</v>
      </c>
      <c r="E12" s="469"/>
      <c r="F12" s="469"/>
    </row>
    <row r="13" spans="1:6" ht="13.5" customHeight="1">
      <c r="A13" s="472" t="s">
        <v>1005</v>
      </c>
      <c r="B13" s="279" t="s">
        <v>907</v>
      </c>
      <c r="C13" s="279" t="s">
        <v>907</v>
      </c>
      <c r="D13" s="279" t="s">
        <v>907</v>
      </c>
      <c r="E13" s="469"/>
      <c r="F13" s="469"/>
    </row>
    <row r="14" spans="1:6" ht="13.5" customHeight="1">
      <c r="A14" s="472" t="s">
        <v>1006</v>
      </c>
      <c r="B14" s="279" t="s">
        <v>907</v>
      </c>
      <c r="C14" s="279" t="s">
        <v>907</v>
      </c>
      <c r="D14" s="279" t="s">
        <v>907</v>
      </c>
      <c r="E14" s="469"/>
      <c r="F14" s="469"/>
    </row>
    <row r="15" spans="1:6" ht="13.5" customHeight="1">
      <c r="A15" s="472" t="s">
        <v>1007</v>
      </c>
      <c r="B15" s="279" t="s">
        <v>907</v>
      </c>
      <c r="C15" s="279" t="s">
        <v>907</v>
      </c>
      <c r="D15" s="279" t="s">
        <v>907</v>
      </c>
      <c r="E15" s="469"/>
      <c r="F15" s="469"/>
    </row>
    <row r="16" spans="1:6" ht="13.5" customHeight="1">
      <c r="A16" s="472" t="s">
        <v>1008</v>
      </c>
      <c r="B16" s="279" t="s">
        <v>907</v>
      </c>
      <c r="C16" s="279" t="s">
        <v>907</v>
      </c>
      <c r="D16" s="279" t="s">
        <v>907</v>
      </c>
      <c r="E16" s="469"/>
      <c r="F16" s="469"/>
    </row>
    <row r="17" spans="1:6" ht="13.5" customHeight="1">
      <c r="A17" s="472" t="s">
        <v>1009</v>
      </c>
      <c r="B17" s="279" t="s">
        <v>907</v>
      </c>
      <c r="C17" s="279" t="s">
        <v>907</v>
      </c>
      <c r="D17" s="279" t="s">
        <v>907</v>
      </c>
      <c r="E17" s="469"/>
      <c r="F17" s="469"/>
    </row>
    <row r="18" spans="1:6" ht="13.5" customHeight="1">
      <c r="A18" s="472" t="s">
        <v>1010</v>
      </c>
      <c r="B18" s="279" t="s">
        <v>907</v>
      </c>
      <c r="C18" s="279" t="s">
        <v>907</v>
      </c>
      <c r="D18" s="279" t="s">
        <v>907</v>
      </c>
      <c r="E18" s="469"/>
      <c r="F18" s="469"/>
    </row>
    <row r="19" spans="1:6" ht="13.5" customHeight="1">
      <c r="A19" s="473"/>
      <c r="B19" s="474"/>
      <c r="C19" s="474"/>
      <c r="D19" s="474"/>
      <c r="E19" s="469"/>
      <c r="F19" s="469"/>
    </row>
    <row r="20" spans="1:7" ht="13.5" customHeight="1">
      <c r="A20" s="910" t="s">
        <v>335</v>
      </c>
      <c r="B20" s="910"/>
      <c r="C20" s="910"/>
      <c r="D20" s="910"/>
      <c r="E20" s="910"/>
      <c r="F20" s="910"/>
      <c r="G20" s="910"/>
    </row>
    <row r="21" spans="1:7" ht="15">
      <c r="A21" s="469"/>
      <c r="B21" s="469"/>
      <c r="C21" s="469"/>
      <c r="D21" s="469"/>
      <c r="E21" s="683" t="s">
        <v>650</v>
      </c>
      <c r="F21" s="683"/>
      <c r="G21" s="86"/>
    </row>
    <row r="22" spans="1:7" ht="45.75" customHeight="1">
      <c r="A22" s="475" t="s">
        <v>424</v>
      </c>
      <c r="B22" s="475" t="s">
        <v>2</v>
      </c>
      <c r="C22" s="476" t="s">
        <v>336</v>
      </c>
      <c r="D22" s="477" t="s">
        <v>337</v>
      </c>
      <c r="E22" s="475" t="s">
        <v>338</v>
      </c>
      <c r="F22" s="475" t="s">
        <v>339</v>
      </c>
      <c r="G22" s="17"/>
    </row>
    <row r="23" spans="1:6" ht="12.75">
      <c r="A23" s="470" t="s">
        <v>340</v>
      </c>
      <c r="B23" s="911" t="s">
        <v>911</v>
      </c>
      <c r="C23" s="912"/>
      <c r="D23" s="912"/>
      <c r="E23" s="912"/>
      <c r="F23" s="912"/>
    </row>
    <row r="24" spans="1:6" ht="12.75">
      <c r="A24" s="470" t="s">
        <v>341</v>
      </c>
      <c r="B24" s="912"/>
      <c r="C24" s="912"/>
      <c r="D24" s="912"/>
      <c r="E24" s="912"/>
      <c r="F24" s="912"/>
    </row>
    <row r="25" spans="1:6" ht="12.75">
      <c r="A25" s="470" t="s">
        <v>342</v>
      </c>
      <c r="B25" s="912"/>
      <c r="C25" s="912"/>
      <c r="D25" s="912"/>
      <c r="E25" s="912"/>
      <c r="F25" s="912"/>
    </row>
    <row r="26" spans="1:6" ht="25.5">
      <c r="A26" s="470" t="s">
        <v>343</v>
      </c>
      <c r="B26" s="912"/>
      <c r="C26" s="912"/>
      <c r="D26" s="912"/>
      <c r="E26" s="912"/>
      <c r="F26" s="912"/>
    </row>
    <row r="27" spans="1:6" ht="32.25" customHeight="1">
      <c r="A27" s="470" t="s">
        <v>344</v>
      </c>
      <c r="B27" s="912"/>
      <c r="C27" s="912"/>
      <c r="D27" s="912"/>
      <c r="E27" s="912"/>
      <c r="F27" s="912"/>
    </row>
    <row r="28" spans="1:6" ht="12.75">
      <c r="A28" s="470" t="s">
        <v>345</v>
      </c>
      <c r="B28" s="912"/>
      <c r="C28" s="912"/>
      <c r="D28" s="912"/>
      <c r="E28" s="912"/>
      <c r="F28" s="912"/>
    </row>
    <row r="29" spans="1:6" ht="12.75">
      <c r="A29" s="470" t="s">
        <v>346</v>
      </c>
      <c r="B29" s="912"/>
      <c r="C29" s="912"/>
      <c r="D29" s="912"/>
      <c r="E29" s="912"/>
      <c r="F29" s="912"/>
    </row>
    <row r="30" spans="1:6" ht="12.75">
      <c r="A30" s="470" t="s">
        <v>347</v>
      </c>
      <c r="B30" s="912"/>
      <c r="C30" s="912"/>
      <c r="D30" s="912"/>
      <c r="E30" s="912"/>
      <c r="F30" s="912"/>
    </row>
    <row r="31" spans="1:6" ht="12.75">
      <c r="A31" s="470" t="s">
        <v>348</v>
      </c>
      <c r="B31" s="912"/>
      <c r="C31" s="912"/>
      <c r="D31" s="912"/>
      <c r="E31" s="912"/>
      <c r="F31" s="912"/>
    </row>
    <row r="32" spans="1:6" ht="12.75">
      <c r="A32" s="470" t="s">
        <v>349</v>
      </c>
      <c r="B32" s="912"/>
      <c r="C32" s="912"/>
      <c r="D32" s="912"/>
      <c r="E32" s="912"/>
      <c r="F32" s="912"/>
    </row>
    <row r="33" spans="1:6" ht="12.75">
      <c r="A33" s="470" t="s">
        <v>350</v>
      </c>
      <c r="B33" s="912"/>
      <c r="C33" s="912"/>
      <c r="D33" s="912"/>
      <c r="E33" s="912"/>
      <c r="F33" s="912"/>
    </row>
    <row r="34" spans="1:6" ht="12.75">
      <c r="A34" s="470" t="s">
        <v>351</v>
      </c>
      <c r="B34" s="912"/>
      <c r="C34" s="912"/>
      <c r="D34" s="912"/>
      <c r="E34" s="912"/>
      <c r="F34" s="912"/>
    </row>
    <row r="35" spans="1:6" ht="12.75">
      <c r="A35" s="470" t="s">
        <v>352</v>
      </c>
      <c r="B35" s="912"/>
      <c r="C35" s="912"/>
      <c r="D35" s="912"/>
      <c r="E35" s="912"/>
      <c r="F35" s="912"/>
    </row>
    <row r="36" spans="1:6" ht="12.75">
      <c r="A36" s="470" t="s">
        <v>353</v>
      </c>
      <c r="B36" s="912"/>
      <c r="C36" s="912"/>
      <c r="D36" s="912"/>
      <c r="E36" s="912"/>
      <c r="F36" s="912"/>
    </row>
    <row r="37" spans="1:6" ht="12.75">
      <c r="A37" s="470" t="s">
        <v>354</v>
      </c>
      <c r="B37" s="912"/>
      <c r="C37" s="912"/>
      <c r="D37" s="912"/>
      <c r="E37" s="912"/>
      <c r="F37" s="912"/>
    </row>
    <row r="38" spans="1:6" ht="12.75">
      <c r="A38" s="470" t="s">
        <v>355</v>
      </c>
      <c r="B38" s="912"/>
      <c r="C38" s="912"/>
      <c r="D38" s="912"/>
      <c r="E38" s="912"/>
      <c r="F38" s="912"/>
    </row>
    <row r="39" spans="1:6" ht="12.75">
      <c r="A39" s="470" t="s">
        <v>41</v>
      </c>
      <c r="B39" s="912"/>
      <c r="C39" s="912"/>
      <c r="D39" s="912"/>
      <c r="E39" s="912"/>
      <c r="F39" s="912"/>
    </row>
    <row r="40" spans="1:6" ht="12.75">
      <c r="A40" s="478" t="s">
        <v>13</v>
      </c>
      <c r="B40" s="912"/>
      <c r="C40" s="912"/>
      <c r="D40" s="912"/>
      <c r="E40" s="912"/>
      <c r="F40" s="912"/>
    </row>
    <row r="44" spans="1:7" ht="15" customHeight="1">
      <c r="A44" s="148"/>
      <c r="B44" s="148"/>
      <c r="C44" s="148"/>
      <c r="D44" s="161"/>
      <c r="E44" s="161"/>
      <c r="F44" s="161"/>
      <c r="G44" s="149"/>
    </row>
    <row r="45" spans="1:7" ht="15" customHeight="1">
      <c r="A45" s="148"/>
      <c r="B45" s="148"/>
      <c r="C45" s="148"/>
      <c r="D45" s="161"/>
      <c r="E45" s="161"/>
      <c r="F45" s="149"/>
      <c r="G45" s="149"/>
    </row>
    <row r="46" spans="1:7" ht="15" customHeight="1">
      <c r="A46" s="148"/>
      <c r="B46" s="148"/>
      <c r="C46" s="148"/>
      <c r="D46" s="161"/>
      <c r="E46" s="161"/>
      <c r="F46" s="149"/>
      <c r="G46" s="149"/>
    </row>
    <row r="47" spans="1:7" ht="12.75">
      <c r="A47" s="148"/>
      <c r="C47" s="148"/>
      <c r="D47" s="150"/>
      <c r="E47" s="150"/>
      <c r="F47" s="150"/>
      <c r="G47" s="153"/>
    </row>
    <row r="48" spans="1:7" ht="12.75">
      <c r="A48" s="358" t="s">
        <v>989</v>
      </c>
      <c r="B48" s="359"/>
      <c r="C48" s="358" t="s">
        <v>990</v>
      </c>
      <c r="D48" s="359"/>
      <c r="E48" s="559" t="s">
        <v>996</v>
      </c>
      <c r="F48" s="559"/>
      <c r="G48" s="559"/>
    </row>
    <row r="49" spans="1:7" ht="12.75">
      <c r="A49" s="358" t="s">
        <v>991</v>
      </c>
      <c r="B49" s="359"/>
      <c r="C49" s="358" t="s">
        <v>992</v>
      </c>
      <c r="D49" s="359"/>
      <c r="E49" s="559" t="s">
        <v>993</v>
      </c>
      <c r="F49" s="559" t="s">
        <v>993</v>
      </c>
      <c r="G49" s="559"/>
    </row>
    <row r="50" spans="1:7" ht="12.75">
      <c r="A50" s="358" t="s">
        <v>994</v>
      </c>
      <c r="B50" s="359"/>
      <c r="C50" s="358" t="s">
        <v>995</v>
      </c>
      <c r="D50" s="359"/>
      <c r="E50" s="559" t="s">
        <v>995</v>
      </c>
      <c r="F50" s="559" t="s">
        <v>995</v>
      </c>
      <c r="G50" s="559"/>
    </row>
  </sheetData>
  <sheetProtection/>
  <mergeCells count="9">
    <mergeCell ref="A2:G2"/>
    <mergeCell ref="E50:G50"/>
    <mergeCell ref="E48:G48"/>
    <mergeCell ref="E49:G49"/>
    <mergeCell ref="A5:G5"/>
    <mergeCell ref="A20:G20"/>
    <mergeCell ref="E21:F21"/>
    <mergeCell ref="B23:F40"/>
    <mergeCell ref="A3:G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54.xml><?xml version="1.0" encoding="utf-8"?>
<worksheet xmlns="http://schemas.openxmlformats.org/spreadsheetml/2006/main" xmlns:r="http://schemas.openxmlformats.org/officeDocument/2006/relationships">
  <sheetPr>
    <tabColor rgb="FF92D050"/>
    <pageSetUpPr fitToPage="1"/>
  </sheetPr>
  <dimension ref="B2:H13"/>
  <sheetViews>
    <sheetView view="pageBreakPreview" zoomScale="70" zoomScaleSheetLayoutView="70" zoomScalePageLayoutView="0" workbookViewId="0" topLeftCell="A1">
      <selection activeCell="Y63" sqref="Y63"/>
    </sheetView>
  </sheetViews>
  <sheetFormatPr defaultColWidth="9.140625" defaultRowHeight="12.75"/>
  <cols>
    <col min="1" max="16384" width="9.140625" style="12" customWidth="1"/>
  </cols>
  <sheetData>
    <row r="2" ht="12.75">
      <c r="B2" s="11"/>
    </row>
    <row r="4" spans="2:8" ht="12.75" customHeight="1">
      <c r="B4" s="913" t="s">
        <v>711</v>
      </c>
      <c r="C4" s="913"/>
      <c r="D4" s="913"/>
      <c r="E4" s="913"/>
      <c r="F4" s="913"/>
      <c r="G4" s="913"/>
      <c r="H4" s="913"/>
    </row>
    <row r="5" spans="2:8" ht="12.75" customHeight="1">
      <c r="B5" s="913"/>
      <c r="C5" s="913"/>
      <c r="D5" s="913"/>
      <c r="E5" s="913"/>
      <c r="F5" s="913"/>
      <c r="G5" s="913"/>
      <c r="H5" s="913"/>
    </row>
    <row r="6" spans="2:8" ht="12.75" customHeight="1">
      <c r="B6" s="913"/>
      <c r="C6" s="913"/>
      <c r="D6" s="913"/>
      <c r="E6" s="913"/>
      <c r="F6" s="913"/>
      <c r="G6" s="913"/>
      <c r="H6" s="913"/>
    </row>
    <row r="7" spans="2:8" ht="12.75" customHeight="1">
      <c r="B7" s="913"/>
      <c r="C7" s="913"/>
      <c r="D7" s="913"/>
      <c r="E7" s="913"/>
      <c r="F7" s="913"/>
      <c r="G7" s="913"/>
      <c r="H7" s="913"/>
    </row>
    <row r="8" spans="2:8" ht="12.75" customHeight="1">
      <c r="B8" s="913"/>
      <c r="C8" s="913"/>
      <c r="D8" s="913"/>
      <c r="E8" s="913"/>
      <c r="F8" s="913"/>
      <c r="G8" s="913"/>
      <c r="H8" s="913"/>
    </row>
    <row r="9" spans="2:8" ht="12.75" customHeight="1">
      <c r="B9" s="913"/>
      <c r="C9" s="913"/>
      <c r="D9" s="913"/>
      <c r="E9" s="913"/>
      <c r="F9" s="913"/>
      <c r="G9" s="913"/>
      <c r="H9" s="913"/>
    </row>
    <row r="10" spans="2:8" ht="12.75" customHeight="1">
      <c r="B10" s="913"/>
      <c r="C10" s="913"/>
      <c r="D10" s="913"/>
      <c r="E10" s="913"/>
      <c r="F10" s="913"/>
      <c r="G10" s="913"/>
      <c r="H10" s="913"/>
    </row>
    <row r="11" spans="2:8" ht="12.75" customHeight="1">
      <c r="B11" s="913"/>
      <c r="C11" s="913"/>
      <c r="D11" s="913"/>
      <c r="E11" s="913"/>
      <c r="F11" s="913"/>
      <c r="G11" s="913"/>
      <c r="H11" s="913"/>
    </row>
    <row r="12" spans="2:8" ht="12.75" customHeight="1">
      <c r="B12" s="913"/>
      <c r="C12" s="913"/>
      <c r="D12" s="913"/>
      <c r="E12" s="913"/>
      <c r="F12" s="913"/>
      <c r="G12" s="913"/>
      <c r="H12" s="913"/>
    </row>
    <row r="13" spans="2:8" ht="12.75" customHeight="1">
      <c r="B13" s="913"/>
      <c r="C13" s="913"/>
      <c r="D13" s="913"/>
      <c r="E13" s="913"/>
      <c r="F13" s="913"/>
      <c r="G13" s="913"/>
      <c r="H13" s="913"/>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tabColor rgb="FF92D050"/>
    <pageSetUpPr fitToPage="1"/>
  </sheetPr>
  <dimension ref="A1:T31"/>
  <sheetViews>
    <sheetView view="pageBreakPreview" zoomScale="70" zoomScaleNormal="90" zoomScaleSheetLayoutView="70" zoomScalePageLayoutView="0" workbookViewId="0" topLeftCell="A1">
      <selection activeCell="U50" sqref="U50"/>
    </sheetView>
  </sheetViews>
  <sheetFormatPr defaultColWidth="9.140625" defaultRowHeight="12.75"/>
  <cols>
    <col min="1" max="1" width="4.7109375" style="42" customWidth="1"/>
    <col min="2" max="2" width="16.8515625" style="42" customWidth="1"/>
    <col min="3" max="3" width="11.7109375" style="42" customWidth="1"/>
    <col min="4" max="4" width="12.421875" style="42" customWidth="1"/>
    <col min="5" max="5" width="13.7109375" style="42" customWidth="1"/>
    <col min="6" max="6" width="15.421875" style="42" customWidth="1"/>
    <col min="7" max="7" width="12.421875" style="42" customWidth="1"/>
    <col min="8" max="8" width="14.140625" style="42" customWidth="1"/>
    <col min="9" max="9" width="12.7109375" style="42" customWidth="1"/>
    <col min="10" max="10" width="15.00390625" style="42" customWidth="1"/>
    <col min="11" max="11" width="16.00390625" style="42" customWidth="1"/>
    <col min="12" max="12" width="11.8515625" style="42" customWidth="1"/>
    <col min="13" max="16384" width="9.140625" style="42" customWidth="1"/>
  </cols>
  <sheetData>
    <row r="1" spans="3:11" ht="15" customHeight="1">
      <c r="C1" s="557"/>
      <c r="D1" s="557"/>
      <c r="E1" s="557"/>
      <c r="F1" s="557"/>
      <c r="G1" s="557"/>
      <c r="H1" s="557"/>
      <c r="I1" s="119"/>
      <c r="J1" s="745" t="s">
        <v>541</v>
      </c>
      <c r="K1" s="745"/>
    </row>
    <row r="2" spans="1:12" s="49" customFormat="1" ht="19.5" customHeight="1">
      <c r="A2" s="916" t="s">
        <v>0</v>
      </c>
      <c r="B2" s="916"/>
      <c r="C2" s="916"/>
      <c r="D2" s="916"/>
      <c r="E2" s="916"/>
      <c r="F2" s="916"/>
      <c r="G2" s="916"/>
      <c r="H2" s="916"/>
      <c r="I2" s="916"/>
      <c r="J2" s="916"/>
      <c r="K2" s="916"/>
      <c r="L2" s="916"/>
    </row>
    <row r="3" spans="1:12" s="49" customFormat="1" ht="19.5" customHeight="1">
      <c r="A3" s="915" t="s">
        <v>645</v>
      </c>
      <c r="B3" s="915"/>
      <c r="C3" s="915"/>
      <c r="D3" s="915"/>
      <c r="E3" s="915"/>
      <c r="F3" s="915"/>
      <c r="G3" s="915"/>
      <c r="H3" s="915"/>
      <c r="I3" s="915"/>
      <c r="J3" s="915"/>
      <c r="K3" s="915"/>
      <c r="L3" s="915"/>
    </row>
    <row r="4" spans="1:11" s="49" customFormat="1" ht="14.25" customHeight="1">
      <c r="A4" s="58"/>
      <c r="B4" s="58"/>
      <c r="C4" s="58"/>
      <c r="D4" s="58"/>
      <c r="E4" s="58"/>
      <c r="F4" s="58"/>
      <c r="G4" s="58"/>
      <c r="H4" s="58"/>
      <c r="I4" s="58"/>
      <c r="J4" s="58"/>
      <c r="K4" s="58"/>
    </row>
    <row r="5" spans="1:12" s="49" customFormat="1" ht="18" customHeight="1">
      <c r="A5" s="818" t="s">
        <v>712</v>
      </c>
      <c r="B5" s="818"/>
      <c r="C5" s="818"/>
      <c r="D5" s="818"/>
      <c r="E5" s="818"/>
      <c r="F5" s="818"/>
      <c r="G5" s="818"/>
      <c r="H5" s="818"/>
      <c r="I5" s="818"/>
      <c r="J5" s="818"/>
      <c r="K5" s="818"/>
      <c r="L5" s="818"/>
    </row>
    <row r="6" spans="1:11" ht="15.75">
      <c r="A6" s="593" t="s">
        <v>157</v>
      </c>
      <c r="B6" s="593"/>
      <c r="C6" s="84"/>
      <c r="D6" s="84"/>
      <c r="E6" s="84"/>
      <c r="F6" s="84"/>
      <c r="G6" s="84"/>
      <c r="H6" s="84"/>
      <c r="I6" s="84"/>
      <c r="J6" s="84"/>
      <c r="K6" s="84"/>
    </row>
    <row r="7" spans="1:20" s="351" customFormat="1" ht="15.75" customHeight="1">
      <c r="A7" s="914" t="s">
        <v>68</v>
      </c>
      <c r="B7" s="914" t="s">
        <v>69</v>
      </c>
      <c r="C7" s="914" t="s">
        <v>70</v>
      </c>
      <c r="D7" s="914" t="s">
        <v>151</v>
      </c>
      <c r="E7" s="914"/>
      <c r="F7" s="914"/>
      <c r="G7" s="914"/>
      <c r="H7" s="914"/>
      <c r="I7" s="917" t="s">
        <v>246</v>
      </c>
      <c r="J7" s="914" t="s">
        <v>71</v>
      </c>
      <c r="K7" s="914" t="s">
        <v>484</v>
      </c>
      <c r="L7" s="914" t="s">
        <v>72</v>
      </c>
      <c r="S7" s="352"/>
      <c r="T7" s="352"/>
    </row>
    <row r="8" spans="1:12" s="351" customFormat="1" ht="45.75" customHeight="1">
      <c r="A8" s="914"/>
      <c r="B8" s="914"/>
      <c r="C8" s="914"/>
      <c r="D8" s="914" t="s">
        <v>73</v>
      </c>
      <c r="E8" s="914" t="s">
        <v>74</v>
      </c>
      <c r="F8" s="914"/>
      <c r="G8" s="914"/>
      <c r="H8" s="350" t="s">
        <v>75</v>
      </c>
      <c r="I8" s="918"/>
      <c r="J8" s="914"/>
      <c r="K8" s="914"/>
      <c r="L8" s="914"/>
    </row>
    <row r="9" spans="1:12" s="351" customFormat="1" ht="30">
      <c r="A9" s="914"/>
      <c r="B9" s="914"/>
      <c r="C9" s="914"/>
      <c r="D9" s="914"/>
      <c r="E9" s="350" t="s">
        <v>76</v>
      </c>
      <c r="F9" s="350" t="s">
        <v>77</v>
      </c>
      <c r="G9" s="350" t="s">
        <v>13</v>
      </c>
      <c r="H9" s="350"/>
      <c r="I9" s="919"/>
      <c r="J9" s="914"/>
      <c r="K9" s="914"/>
      <c r="L9" s="914"/>
    </row>
    <row r="10" spans="1:12" s="351" customFormat="1" ht="16.5" customHeight="1">
      <c r="A10" s="350">
        <v>1</v>
      </c>
      <c r="B10" s="350">
        <v>2</v>
      </c>
      <c r="C10" s="350">
        <v>3</v>
      </c>
      <c r="D10" s="350">
        <v>4</v>
      </c>
      <c r="E10" s="350">
        <v>5</v>
      </c>
      <c r="F10" s="350">
        <v>6</v>
      </c>
      <c r="G10" s="350">
        <v>7</v>
      </c>
      <c r="H10" s="350">
        <v>8</v>
      </c>
      <c r="I10" s="350">
        <v>9</v>
      </c>
      <c r="J10" s="350">
        <v>10</v>
      </c>
      <c r="K10" s="350">
        <v>11</v>
      </c>
      <c r="L10" s="350">
        <v>12</v>
      </c>
    </row>
    <row r="11" spans="1:12" ht="16.5" customHeight="1">
      <c r="A11" s="51">
        <v>1</v>
      </c>
      <c r="B11" s="52" t="s">
        <v>713</v>
      </c>
      <c r="C11" s="46">
        <v>30</v>
      </c>
      <c r="D11" s="45">
        <v>0</v>
      </c>
      <c r="E11" s="45">
        <v>5</v>
      </c>
      <c r="F11" s="45">
        <v>2</v>
      </c>
      <c r="G11" s="45">
        <f>SUM(E11:F11)</f>
        <v>7</v>
      </c>
      <c r="H11" s="45">
        <f>D11+G11</f>
        <v>7</v>
      </c>
      <c r="I11" s="45">
        <v>23</v>
      </c>
      <c r="J11" s="45">
        <v>23</v>
      </c>
      <c r="K11" s="281">
        <v>25</v>
      </c>
      <c r="L11" s="45"/>
    </row>
    <row r="12" spans="1:12" ht="16.5" customHeight="1">
      <c r="A12" s="51">
        <v>2</v>
      </c>
      <c r="B12" s="52" t="s">
        <v>714</v>
      </c>
      <c r="C12" s="46">
        <v>31</v>
      </c>
      <c r="D12" s="45">
        <v>0</v>
      </c>
      <c r="E12" s="45">
        <v>4</v>
      </c>
      <c r="F12" s="45">
        <v>14</v>
      </c>
      <c r="G12" s="45">
        <f aca="true" t="shared" si="0" ref="G12:G22">SUM(E12:F12)</f>
        <v>18</v>
      </c>
      <c r="H12" s="45">
        <f aca="true" t="shared" si="1" ref="H12:H22">D12+G12</f>
        <v>18</v>
      </c>
      <c r="I12" s="45">
        <v>13</v>
      </c>
      <c r="J12" s="45">
        <v>13</v>
      </c>
      <c r="K12" s="281">
        <v>27</v>
      </c>
      <c r="L12" s="45"/>
    </row>
    <row r="13" spans="1:12" ht="16.5" customHeight="1">
      <c r="A13" s="51">
        <v>3</v>
      </c>
      <c r="B13" s="52" t="s">
        <v>715</v>
      </c>
      <c r="C13" s="46">
        <v>30</v>
      </c>
      <c r="D13" s="45">
        <v>0</v>
      </c>
      <c r="E13" s="45">
        <v>4</v>
      </c>
      <c r="F13" s="45">
        <v>13</v>
      </c>
      <c r="G13" s="45">
        <f t="shared" si="0"/>
        <v>17</v>
      </c>
      <c r="H13" s="45">
        <f t="shared" si="1"/>
        <v>17</v>
      </c>
      <c r="I13" s="45">
        <v>13</v>
      </c>
      <c r="J13" s="45">
        <v>13</v>
      </c>
      <c r="K13" s="281">
        <v>26</v>
      </c>
      <c r="L13" s="45"/>
    </row>
    <row r="14" spans="1:12" ht="16.5" customHeight="1">
      <c r="A14" s="51">
        <v>4</v>
      </c>
      <c r="B14" s="52" t="s">
        <v>716</v>
      </c>
      <c r="C14" s="46">
        <v>31</v>
      </c>
      <c r="D14" s="45">
        <v>0</v>
      </c>
      <c r="E14" s="45">
        <v>5</v>
      </c>
      <c r="F14" s="45">
        <v>0</v>
      </c>
      <c r="G14" s="45">
        <f t="shared" si="0"/>
        <v>5</v>
      </c>
      <c r="H14" s="45">
        <f t="shared" si="1"/>
        <v>5</v>
      </c>
      <c r="I14" s="45">
        <v>26</v>
      </c>
      <c r="J14" s="45">
        <v>26</v>
      </c>
      <c r="K14" s="281">
        <v>26</v>
      </c>
      <c r="L14" s="45"/>
    </row>
    <row r="15" spans="1:12" ht="16.5" customHeight="1">
      <c r="A15" s="51">
        <v>5</v>
      </c>
      <c r="B15" s="52" t="s">
        <v>717</v>
      </c>
      <c r="C15" s="46">
        <v>31</v>
      </c>
      <c r="D15" s="45">
        <v>1</v>
      </c>
      <c r="E15" s="45">
        <v>4</v>
      </c>
      <c r="F15" s="45">
        <v>2</v>
      </c>
      <c r="G15" s="45">
        <f t="shared" si="0"/>
        <v>6</v>
      </c>
      <c r="H15" s="45">
        <f t="shared" si="1"/>
        <v>7</v>
      </c>
      <c r="I15" s="45">
        <v>25</v>
      </c>
      <c r="J15" s="45">
        <v>25</v>
      </c>
      <c r="K15" s="281">
        <v>27</v>
      </c>
      <c r="L15" s="45"/>
    </row>
    <row r="16" spans="1:14" s="50" customFormat="1" ht="16.5" customHeight="1">
      <c r="A16" s="51">
        <v>6</v>
      </c>
      <c r="B16" s="52" t="s">
        <v>718</v>
      </c>
      <c r="C16" s="51">
        <v>30</v>
      </c>
      <c r="D16" s="52">
        <v>0</v>
      </c>
      <c r="E16" s="52">
        <v>4</v>
      </c>
      <c r="F16" s="52">
        <v>8</v>
      </c>
      <c r="G16" s="45">
        <f t="shared" si="0"/>
        <v>12</v>
      </c>
      <c r="H16" s="45">
        <f t="shared" si="1"/>
        <v>12</v>
      </c>
      <c r="I16" s="52">
        <v>18</v>
      </c>
      <c r="J16" s="52">
        <v>18</v>
      </c>
      <c r="K16" s="282">
        <v>26</v>
      </c>
      <c r="L16" s="52"/>
      <c r="N16" s="42"/>
    </row>
    <row r="17" spans="1:14" s="50" customFormat="1" ht="16.5" customHeight="1">
      <c r="A17" s="51">
        <v>7</v>
      </c>
      <c r="B17" s="52" t="s">
        <v>719</v>
      </c>
      <c r="C17" s="51">
        <v>31</v>
      </c>
      <c r="D17" s="52">
        <v>1</v>
      </c>
      <c r="E17" s="52">
        <v>4</v>
      </c>
      <c r="F17" s="52">
        <v>6</v>
      </c>
      <c r="G17" s="45">
        <f t="shared" si="0"/>
        <v>10</v>
      </c>
      <c r="H17" s="45">
        <f t="shared" si="1"/>
        <v>11</v>
      </c>
      <c r="I17" s="52">
        <v>20</v>
      </c>
      <c r="J17" s="52">
        <v>20</v>
      </c>
      <c r="K17" s="282">
        <v>26</v>
      </c>
      <c r="L17" s="52"/>
      <c r="N17" s="42"/>
    </row>
    <row r="18" spans="1:14" s="50" customFormat="1" ht="16.5" customHeight="1">
      <c r="A18" s="51">
        <v>8</v>
      </c>
      <c r="B18" s="52" t="s">
        <v>720</v>
      </c>
      <c r="C18" s="51">
        <v>30</v>
      </c>
      <c r="D18" s="52">
        <v>0</v>
      </c>
      <c r="E18" s="52">
        <v>4</v>
      </c>
      <c r="F18" s="52">
        <v>2</v>
      </c>
      <c r="G18" s="45">
        <f t="shared" si="0"/>
        <v>6</v>
      </c>
      <c r="H18" s="45">
        <f t="shared" si="1"/>
        <v>6</v>
      </c>
      <c r="I18" s="52">
        <v>24</v>
      </c>
      <c r="J18" s="52">
        <v>24</v>
      </c>
      <c r="K18" s="282">
        <v>26</v>
      </c>
      <c r="L18" s="52"/>
      <c r="N18" s="42"/>
    </row>
    <row r="19" spans="1:14" s="50" customFormat="1" ht="16.5" customHeight="1">
      <c r="A19" s="51">
        <v>9</v>
      </c>
      <c r="B19" s="52" t="s">
        <v>721</v>
      </c>
      <c r="C19" s="51">
        <v>31</v>
      </c>
      <c r="D19" s="52">
        <v>0</v>
      </c>
      <c r="E19" s="52">
        <v>5</v>
      </c>
      <c r="F19" s="52">
        <v>3</v>
      </c>
      <c r="G19" s="45">
        <f t="shared" si="0"/>
        <v>8</v>
      </c>
      <c r="H19" s="45">
        <f t="shared" si="1"/>
        <v>8</v>
      </c>
      <c r="I19" s="52">
        <v>23</v>
      </c>
      <c r="J19" s="52">
        <v>23</v>
      </c>
      <c r="K19" s="282">
        <v>26</v>
      </c>
      <c r="L19" s="52"/>
      <c r="N19" s="42"/>
    </row>
    <row r="20" spans="1:14" s="50" customFormat="1" ht="16.5" customHeight="1">
      <c r="A20" s="51">
        <v>10</v>
      </c>
      <c r="B20" s="52" t="s">
        <v>722</v>
      </c>
      <c r="C20" s="51">
        <v>31</v>
      </c>
      <c r="D20" s="52">
        <v>1</v>
      </c>
      <c r="E20" s="52">
        <v>4</v>
      </c>
      <c r="F20" s="52">
        <v>2</v>
      </c>
      <c r="G20" s="45">
        <f t="shared" si="0"/>
        <v>6</v>
      </c>
      <c r="H20" s="45">
        <f t="shared" si="1"/>
        <v>7</v>
      </c>
      <c r="I20" s="52">
        <v>24</v>
      </c>
      <c r="J20" s="52">
        <v>24</v>
      </c>
      <c r="K20" s="282">
        <v>26</v>
      </c>
      <c r="L20" s="52"/>
      <c r="N20" s="42"/>
    </row>
    <row r="21" spans="1:14" s="50" customFormat="1" ht="16.5" customHeight="1">
      <c r="A21" s="51">
        <v>11</v>
      </c>
      <c r="B21" s="52" t="s">
        <v>723</v>
      </c>
      <c r="C21" s="51">
        <v>28</v>
      </c>
      <c r="D21" s="52">
        <v>0</v>
      </c>
      <c r="E21" s="52">
        <v>4</v>
      </c>
      <c r="F21" s="52">
        <v>2</v>
      </c>
      <c r="G21" s="45">
        <f t="shared" si="0"/>
        <v>6</v>
      </c>
      <c r="H21" s="45">
        <f t="shared" si="1"/>
        <v>6</v>
      </c>
      <c r="I21" s="52">
        <v>22</v>
      </c>
      <c r="J21" s="52">
        <v>22</v>
      </c>
      <c r="K21" s="282">
        <v>24</v>
      </c>
      <c r="L21" s="52"/>
      <c r="N21" s="42"/>
    </row>
    <row r="22" spans="1:14" s="50" customFormat="1" ht="16.5" customHeight="1">
      <c r="A22" s="51">
        <v>12</v>
      </c>
      <c r="B22" s="52" t="s">
        <v>724</v>
      </c>
      <c r="C22" s="51">
        <v>31</v>
      </c>
      <c r="D22" s="52">
        <v>0</v>
      </c>
      <c r="E22" s="52">
        <v>4</v>
      </c>
      <c r="F22" s="52">
        <v>4</v>
      </c>
      <c r="G22" s="45">
        <f t="shared" si="0"/>
        <v>8</v>
      </c>
      <c r="H22" s="45">
        <f t="shared" si="1"/>
        <v>8</v>
      </c>
      <c r="I22" s="52">
        <v>23</v>
      </c>
      <c r="J22" s="52">
        <v>23</v>
      </c>
      <c r="K22" s="282">
        <v>27</v>
      </c>
      <c r="L22" s="52"/>
      <c r="N22" s="42"/>
    </row>
    <row r="23" spans="1:12" s="280" customFormat="1" ht="16.5" customHeight="1">
      <c r="A23" s="53"/>
      <c r="B23" s="54" t="s">
        <v>13</v>
      </c>
      <c r="C23" s="44">
        <v>365</v>
      </c>
      <c r="D23" s="53">
        <f>SUM(D11:D22)</f>
        <v>3</v>
      </c>
      <c r="E23" s="53">
        <f aca="true" t="shared" si="2" ref="E23:L23">SUM(E11:E22)</f>
        <v>51</v>
      </c>
      <c r="F23" s="53">
        <f t="shared" si="2"/>
        <v>58</v>
      </c>
      <c r="G23" s="53">
        <f t="shared" si="2"/>
        <v>109</v>
      </c>
      <c r="H23" s="53">
        <f t="shared" si="2"/>
        <v>112</v>
      </c>
      <c r="I23" s="53">
        <f t="shared" si="2"/>
        <v>254</v>
      </c>
      <c r="J23" s="53">
        <f t="shared" si="2"/>
        <v>254</v>
      </c>
      <c r="K23" s="53">
        <f t="shared" si="2"/>
        <v>312</v>
      </c>
      <c r="L23" s="53">
        <f t="shared" si="2"/>
        <v>0</v>
      </c>
    </row>
    <row r="24" spans="1:11" s="50" customFormat="1" ht="11.25" customHeight="1">
      <c r="A24" s="55"/>
      <c r="B24" s="56"/>
      <c r="C24" s="57"/>
      <c r="D24" s="55"/>
      <c r="E24" s="55"/>
      <c r="F24" s="55"/>
      <c r="G24" s="55"/>
      <c r="H24" s="55"/>
      <c r="I24" s="55"/>
      <c r="J24" s="55"/>
      <c r="K24" s="55"/>
    </row>
    <row r="25" spans="1:10" ht="15">
      <c r="A25" s="47" t="s">
        <v>99</v>
      </c>
      <c r="B25" s="47"/>
      <c r="C25" s="47"/>
      <c r="D25" s="47"/>
      <c r="E25" s="47"/>
      <c r="F25" s="47"/>
      <c r="G25" s="47"/>
      <c r="H25" s="47"/>
      <c r="I25" s="47"/>
      <c r="J25" s="47"/>
    </row>
    <row r="26" spans="1:10" ht="15">
      <c r="A26" s="47"/>
      <c r="B26" s="47"/>
      <c r="C26" s="47"/>
      <c r="D26" s="47"/>
      <c r="E26" s="47"/>
      <c r="F26" s="47"/>
      <c r="G26" s="47"/>
      <c r="H26" s="47"/>
      <c r="I26" s="47"/>
      <c r="J26" s="47"/>
    </row>
    <row r="27" spans="1:10" ht="15">
      <c r="A27" s="47"/>
      <c r="B27" s="47"/>
      <c r="C27" s="47"/>
      <c r="D27" s="47"/>
      <c r="E27" s="47"/>
      <c r="F27" s="47"/>
      <c r="G27" s="47"/>
      <c r="H27" s="47"/>
      <c r="I27" s="47"/>
      <c r="J27" s="47"/>
    </row>
    <row r="28" spans="1:11" ht="15">
      <c r="A28" s="47"/>
      <c r="B28" s="47"/>
      <c r="C28" s="47"/>
      <c r="D28" s="47"/>
      <c r="E28" s="47"/>
      <c r="F28" s="47"/>
      <c r="G28" s="47"/>
      <c r="H28" s="47"/>
      <c r="I28" s="47"/>
      <c r="J28" s="280"/>
      <c r="K28" s="280"/>
    </row>
    <row r="29" spans="1:12" ht="15">
      <c r="A29" s="280"/>
      <c r="B29" s="559" t="s">
        <v>989</v>
      </c>
      <c r="C29" s="559"/>
      <c r="D29" s="559"/>
      <c r="E29" s="12"/>
      <c r="F29" s="12"/>
      <c r="G29" s="559" t="s">
        <v>990</v>
      </c>
      <c r="H29" s="559"/>
      <c r="I29" s="12"/>
      <c r="J29" s="559" t="s">
        <v>996</v>
      </c>
      <c r="K29" s="559"/>
      <c r="L29" s="559"/>
    </row>
    <row r="30" spans="1:12" ht="15">
      <c r="A30" s="280"/>
      <c r="B30" s="559" t="s">
        <v>991</v>
      </c>
      <c r="C30" s="559"/>
      <c r="D30" s="559"/>
      <c r="E30" s="12"/>
      <c r="F30" s="12"/>
      <c r="G30" s="559" t="s">
        <v>992</v>
      </c>
      <c r="H30" s="559"/>
      <c r="I30" s="12"/>
      <c r="J30" s="559" t="s">
        <v>993</v>
      </c>
      <c r="K30" s="559" t="s">
        <v>993</v>
      </c>
      <c r="L30" s="559"/>
    </row>
    <row r="31" spans="1:12" ht="15">
      <c r="A31" s="47"/>
      <c r="B31" s="559" t="s">
        <v>994</v>
      </c>
      <c r="C31" s="559"/>
      <c r="D31" s="559"/>
      <c r="E31" s="12"/>
      <c r="F31" s="12"/>
      <c r="G31" s="559" t="s">
        <v>995</v>
      </c>
      <c r="H31" s="559"/>
      <c r="I31" s="12"/>
      <c r="J31" s="559" t="s">
        <v>995</v>
      </c>
      <c r="K31" s="559" t="s">
        <v>995</v>
      </c>
      <c r="L31" s="559"/>
    </row>
  </sheetData>
  <sheetProtection/>
  <mergeCells count="25">
    <mergeCell ref="C1:H1"/>
    <mergeCell ref="J1:K1"/>
    <mergeCell ref="A6:B6"/>
    <mergeCell ref="B29:D29"/>
    <mergeCell ref="G29:H29"/>
    <mergeCell ref="J29:L29"/>
    <mergeCell ref="K7:K9"/>
    <mergeCell ref="D8:D9"/>
    <mergeCell ref="L7:L9"/>
    <mergeCell ref="B7:B9"/>
    <mergeCell ref="C7:C9"/>
    <mergeCell ref="D7:H7"/>
    <mergeCell ref="J7:J9"/>
    <mergeCell ref="A3:L3"/>
    <mergeCell ref="A5:L5"/>
    <mergeCell ref="A2:L2"/>
    <mergeCell ref="E8:G8"/>
    <mergeCell ref="I7:I9"/>
    <mergeCell ref="A7:A9"/>
    <mergeCell ref="B30:D30"/>
    <mergeCell ref="G30:H30"/>
    <mergeCell ref="J30:L30"/>
    <mergeCell ref="B31:D31"/>
    <mergeCell ref="G31:H31"/>
    <mergeCell ref="J31:L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sheetPr>
    <tabColor rgb="FF92D050"/>
    <pageSetUpPr fitToPage="1"/>
  </sheetPr>
  <dimension ref="A1:S32"/>
  <sheetViews>
    <sheetView view="pageBreakPreview" zoomScale="70" zoomScaleSheetLayoutView="70" zoomScalePageLayoutView="0" workbookViewId="0" topLeftCell="A1">
      <selection activeCell="Q47" sqref="Q47"/>
    </sheetView>
  </sheetViews>
  <sheetFormatPr defaultColWidth="9.140625" defaultRowHeight="12.75"/>
  <cols>
    <col min="1" max="1" width="4.7109375" style="42" customWidth="1"/>
    <col min="2" max="2" width="14.7109375" style="42" customWidth="1"/>
    <col min="3" max="3" width="11.7109375" style="42" customWidth="1"/>
    <col min="4" max="4" width="12.00390625" style="42" customWidth="1"/>
    <col min="5" max="5" width="11.8515625" style="42" customWidth="1"/>
    <col min="6" max="6" width="18.8515625" style="42" customWidth="1"/>
    <col min="7" max="7" width="10.140625" style="42" customWidth="1"/>
    <col min="8" max="8" width="14.7109375" style="42" customWidth="1"/>
    <col min="9" max="9" width="15.28125" style="42" customWidth="1"/>
    <col min="10" max="10" width="14.7109375" style="42" customWidth="1"/>
    <col min="11" max="11" width="11.8515625" style="42" customWidth="1"/>
    <col min="12" max="16384" width="9.140625" style="42" customWidth="1"/>
  </cols>
  <sheetData>
    <row r="1" spans="3:10" ht="15" customHeight="1">
      <c r="C1" s="557"/>
      <c r="D1" s="557"/>
      <c r="E1" s="557"/>
      <c r="F1" s="557"/>
      <c r="G1" s="557"/>
      <c r="H1" s="557"/>
      <c r="I1" s="119"/>
      <c r="J1" s="34" t="s">
        <v>542</v>
      </c>
    </row>
    <row r="2" spans="1:11" s="49" customFormat="1" ht="19.5" customHeight="1">
      <c r="A2" s="916" t="s">
        <v>0</v>
      </c>
      <c r="B2" s="916"/>
      <c r="C2" s="916"/>
      <c r="D2" s="916"/>
      <c r="E2" s="916"/>
      <c r="F2" s="916"/>
      <c r="G2" s="916"/>
      <c r="H2" s="916"/>
      <c r="I2" s="916"/>
      <c r="J2" s="916"/>
      <c r="K2" s="916"/>
    </row>
    <row r="3" spans="1:11" s="49" customFormat="1" ht="19.5" customHeight="1">
      <c r="A3" s="915" t="s">
        <v>645</v>
      </c>
      <c r="B3" s="915"/>
      <c r="C3" s="915"/>
      <c r="D3" s="915"/>
      <c r="E3" s="915"/>
      <c r="F3" s="915"/>
      <c r="G3" s="915"/>
      <c r="H3" s="915"/>
      <c r="I3" s="915"/>
      <c r="J3" s="915"/>
      <c r="K3" s="915"/>
    </row>
    <row r="4" spans="1:10" s="49" customFormat="1" ht="14.25" customHeight="1">
      <c r="A4" s="58"/>
      <c r="B4" s="58"/>
      <c r="C4" s="58"/>
      <c r="D4" s="58"/>
      <c r="E4" s="58"/>
      <c r="F4" s="58"/>
      <c r="G4" s="58"/>
      <c r="H4" s="58"/>
      <c r="I4" s="58"/>
      <c r="J4" s="58"/>
    </row>
    <row r="5" spans="1:11" s="49" customFormat="1" ht="18" customHeight="1">
      <c r="A5" s="818" t="s">
        <v>725</v>
      </c>
      <c r="B5" s="818"/>
      <c r="C5" s="818"/>
      <c r="D5" s="818"/>
      <c r="E5" s="818"/>
      <c r="F5" s="818"/>
      <c r="G5" s="818"/>
      <c r="H5" s="818"/>
      <c r="I5" s="818"/>
      <c r="J5" s="818"/>
      <c r="K5" s="818"/>
    </row>
    <row r="6" spans="1:10" ht="15.75">
      <c r="A6" s="593" t="s">
        <v>157</v>
      </c>
      <c r="B6" s="593"/>
      <c r="C6" s="101"/>
      <c r="D6" s="101"/>
      <c r="E6" s="101"/>
      <c r="F6" s="101"/>
      <c r="G6" s="101"/>
      <c r="H6" s="101"/>
      <c r="I6" s="118"/>
      <c r="J6" s="118"/>
    </row>
    <row r="7" spans="1:11" ht="29.25" customHeight="1">
      <c r="A7" s="920" t="s">
        <v>68</v>
      </c>
      <c r="B7" s="920" t="s">
        <v>69</v>
      </c>
      <c r="C7" s="920" t="s">
        <v>70</v>
      </c>
      <c r="D7" s="920" t="s">
        <v>152</v>
      </c>
      <c r="E7" s="920"/>
      <c r="F7" s="920"/>
      <c r="G7" s="920"/>
      <c r="H7" s="920"/>
      <c r="I7" s="920" t="s">
        <v>246</v>
      </c>
      <c r="J7" s="920" t="s">
        <v>71</v>
      </c>
      <c r="K7" s="920" t="s">
        <v>227</v>
      </c>
    </row>
    <row r="8" spans="1:19" ht="33.75" customHeight="1">
      <c r="A8" s="920"/>
      <c r="B8" s="920"/>
      <c r="C8" s="920"/>
      <c r="D8" s="920" t="s">
        <v>73</v>
      </c>
      <c r="E8" s="920" t="s">
        <v>74</v>
      </c>
      <c r="F8" s="920"/>
      <c r="G8" s="920"/>
      <c r="H8" s="920" t="s">
        <v>75</v>
      </c>
      <c r="I8" s="920"/>
      <c r="J8" s="920"/>
      <c r="K8" s="920"/>
      <c r="R8" s="48"/>
      <c r="S8" s="48"/>
    </row>
    <row r="9" spans="1:11" ht="33.75" customHeight="1">
      <c r="A9" s="920"/>
      <c r="B9" s="920"/>
      <c r="C9" s="920"/>
      <c r="D9" s="920"/>
      <c r="E9" s="44" t="s">
        <v>76</v>
      </c>
      <c r="F9" s="44" t="s">
        <v>77</v>
      </c>
      <c r="G9" s="44" t="s">
        <v>13</v>
      </c>
      <c r="H9" s="920"/>
      <c r="I9" s="920"/>
      <c r="J9" s="920"/>
      <c r="K9" s="920"/>
    </row>
    <row r="10" spans="1:11" s="50" customFormat="1" ht="16.5" customHeight="1">
      <c r="A10" s="44">
        <v>1</v>
      </c>
      <c r="B10" s="44">
        <v>2</v>
      </c>
      <c r="C10" s="44">
        <v>3</v>
      </c>
      <c r="D10" s="44">
        <v>4</v>
      </c>
      <c r="E10" s="44">
        <v>5</v>
      </c>
      <c r="F10" s="44">
        <v>6</v>
      </c>
      <c r="G10" s="44">
        <v>7</v>
      </c>
      <c r="H10" s="44">
        <v>8</v>
      </c>
      <c r="I10" s="44">
        <v>9</v>
      </c>
      <c r="J10" s="44">
        <v>10</v>
      </c>
      <c r="K10" s="44">
        <v>11</v>
      </c>
    </row>
    <row r="11" spans="1:11" ht="16.5" customHeight="1">
      <c r="A11" s="51">
        <v>1</v>
      </c>
      <c r="B11" s="52" t="s">
        <v>713</v>
      </c>
      <c r="C11" s="46">
        <v>30</v>
      </c>
      <c r="D11" s="45">
        <v>0</v>
      </c>
      <c r="E11" s="45">
        <v>5</v>
      </c>
      <c r="F11" s="45">
        <v>2</v>
      </c>
      <c r="G11" s="45">
        <f>SUM(E11:F11)</f>
        <v>7</v>
      </c>
      <c r="H11" s="45">
        <f>D11+G11</f>
        <v>7</v>
      </c>
      <c r="I11" s="45">
        <v>23</v>
      </c>
      <c r="J11" s="45">
        <v>23</v>
      </c>
      <c r="K11" s="45"/>
    </row>
    <row r="12" spans="1:11" ht="16.5" customHeight="1">
      <c r="A12" s="51">
        <v>2</v>
      </c>
      <c r="B12" s="52" t="s">
        <v>714</v>
      </c>
      <c r="C12" s="46">
        <v>31</v>
      </c>
      <c r="D12" s="45">
        <v>0</v>
      </c>
      <c r="E12" s="45">
        <v>4</v>
      </c>
      <c r="F12" s="45">
        <v>14</v>
      </c>
      <c r="G12" s="45">
        <f aca="true" t="shared" si="0" ref="G12:G22">SUM(E12:F12)</f>
        <v>18</v>
      </c>
      <c r="H12" s="45">
        <f aca="true" t="shared" si="1" ref="H12:H22">D12+G12</f>
        <v>18</v>
      </c>
      <c r="I12" s="45">
        <v>13</v>
      </c>
      <c r="J12" s="45">
        <v>13</v>
      </c>
      <c r="K12" s="45"/>
    </row>
    <row r="13" spans="1:11" ht="16.5" customHeight="1">
      <c r="A13" s="51">
        <v>3</v>
      </c>
      <c r="B13" s="52" t="s">
        <v>715</v>
      </c>
      <c r="C13" s="46">
        <v>30</v>
      </c>
      <c r="D13" s="45">
        <v>0</v>
      </c>
      <c r="E13" s="45">
        <v>4</v>
      </c>
      <c r="F13" s="45">
        <v>13</v>
      </c>
      <c r="G13" s="45">
        <f t="shared" si="0"/>
        <v>17</v>
      </c>
      <c r="H13" s="45">
        <f t="shared" si="1"/>
        <v>17</v>
      </c>
      <c r="I13" s="45">
        <v>13</v>
      </c>
      <c r="J13" s="45">
        <v>13</v>
      </c>
      <c r="K13" s="52"/>
    </row>
    <row r="14" spans="1:11" ht="16.5" customHeight="1">
      <c r="A14" s="51">
        <v>4</v>
      </c>
      <c r="B14" s="52" t="s">
        <v>716</v>
      </c>
      <c r="C14" s="46">
        <v>31</v>
      </c>
      <c r="D14" s="45">
        <v>0</v>
      </c>
      <c r="E14" s="45">
        <v>5</v>
      </c>
      <c r="F14" s="45">
        <v>0</v>
      </c>
      <c r="G14" s="45">
        <f t="shared" si="0"/>
        <v>5</v>
      </c>
      <c r="H14" s="45">
        <f t="shared" si="1"/>
        <v>5</v>
      </c>
      <c r="I14" s="45">
        <v>26</v>
      </c>
      <c r="J14" s="45">
        <v>26</v>
      </c>
      <c r="K14" s="52"/>
    </row>
    <row r="15" spans="1:11" ht="16.5" customHeight="1">
      <c r="A15" s="51">
        <v>5</v>
      </c>
      <c r="B15" s="52" t="s">
        <v>717</v>
      </c>
      <c r="C15" s="46">
        <v>31</v>
      </c>
      <c r="D15" s="45">
        <v>1</v>
      </c>
      <c r="E15" s="45">
        <v>4</v>
      </c>
      <c r="F15" s="45">
        <v>2</v>
      </c>
      <c r="G15" s="45">
        <f t="shared" si="0"/>
        <v>6</v>
      </c>
      <c r="H15" s="45">
        <f t="shared" si="1"/>
        <v>7</v>
      </c>
      <c r="I15" s="45">
        <v>25</v>
      </c>
      <c r="J15" s="45">
        <v>25</v>
      </c>
      <c r="K15" s="52"/>
    </row>
    <row r="16" spans="1:11" s="50" customFormat="1" ht="16.5" customHeight="1">
      <c r="A16" s="51">
        <v>6</v>
      </c>
      <c r="B16" s="52" t="s">
        <v>718</v>
      </c>
      <c r="C16" s="51">
        <v>30</v>
      </c>
      <c r="D16" s="52">
        <v>0</v>
      </c>
      <c r="E16" s="52">
        <v>4</v>
      </c>
      <c r="F16" s="52">
        <v>8</v>
      </c>
      <c r="G16" s="45">
        <f t="shared" si="0"/>
        <v>12</v>
      </c>
      <c r="H16" s="45">
        <f t="shared" si="1"/>
        <v>12</v>
      </c>
      <c r="I16" s="52">
        <v>18</v>
      </c>
      <c r="J16" s="52">
        <v>18</v>
      </c>
      <c r="K16" s="52"/>
    </row>
    <row r="17" spans="1:11" s="50" customFormat="1" ht="16.5" customHeight="1">
      <c r="A17" s="51">
        <v>7</v>
      </c>
      <c r="B17" s="52" t="s">
        <v>719</v>
      </c>
      <c r="C17" s="51">
        <v>31</v>
      </c>
      <c r="D17" s="52">
        <v>1</v>
      </c>
      <c r="E17" s="52">
        <v>4</v>
      </c>
      <c r="F17" s="52">
        <v>6</v>
      </c>
      <c r="G17" s="45">
        <f t="shared" si="0"/>
        <v>10</v>
      </c>
      <c r="H17" s="45">
        <f t="shared" si="1"/>
        <v>11</v>
      </c>
      <c r="I17" s="52">
        <v>20</v>
      </c>
      <c r="J17" s="52">
        <v>20</v>
      </c>
      <c r="K17" s="52"/>
    </row>
    <row r="18" spans="1:11" s="50" customFormat="1" ht="16.5" customHeight="1">
      <c r="A18" s="51">
        <v>8</v>
      </c>
      <c r="B18" s="52" t="s">
        <v>720</v>
      </c>
      <c r="C18" s="51">
        <v>30</v>
      </c>
      <c r="D18" s="52">
        <v>0</v>
      </c>
      <c r="E18" s="52">
        <v>4</v>
      </c>
      <c r="F18" s="52">
        <v>2</v>
      </c>
      <c r="G18" s="45">
        <f t="shared" si="0"/>
        <v>6</v>
      </c>
      <c r="H18" s="45">
        <f t="shared" si="1"/>
        <v>6</v>
      </c>
      <c r="I18" s="52">
        <v>24</v>
      </c>
      <c r="J18" s="52">
        <v>24</v>
      </c>
      <c r="K18" s="52"/>
    </row>
    <row r="19" spans="1:11" s="50" customFormat="1" ht="16.5" customHeight="1">
      <c r="A19" s="51">
        <v>9</v>
      </c>
      <c r="B19" s="52" t="s">
        <v>721</v>
      </c>
      <c r="C19" s="51">
        <v>31</v>
      </c>
      <c r="D19" s="52">
        <v>0</v>
      </c>
      <c r="E19" s="52">
        <v>5</v>
      </c>
      <c r="F19" s="52">
        <v>3</v>
      </c>
      <c r="G19" s="45">
        <f t="shared" si="0"/>
        <v>8</v>
      </c>
      <c r="H19" s="45">
        <f t="shared" si="1"/>
        <v>8</v>
      </c>
      <c r="I19" s="52">
        <v>23</v>
      </c>
      <c r="J19" s="52">
        <v>23</v>
      </c>
      <c r="K19" s="52"/>
    </row>
    <row r="20" spans="1:11" s="50" customFormat="1" ht="16.5" customHeight="1">
      <c r="A20" s="51">
        <v>10</v>
      </c>
      <c r="B20" s="52" t="s">
        <v>722</v>
      </c>
      <c r="C20" s="51">
        <v>31</v>
      </c>
      <c r="D20" s="52">
        <v>1</v>
      </c>
      <c r="E20" s="52">
        <v>4</v>
      </c>
      <c r="F20" s="52">
        <v>2</v>
      </c>
      <c r="G20" s="45">
        <f t="shared" si="0"/>
        <v>6</v>
      </c>
      <c r="H20" s="45">
        <f t="shared" si="1"/>
        <v>7</v>
      </c>
      <c r="I20" s="52">
        <v>24</v>
      </c>
      <c r="J20" s="52">
        <v>24</v>
      </c>
      <c r="K20" s="52"/>
    </row>
    <row r="21" spans="1:11" s="50" customFormat="1" ht="16.5" customHeight="1">
      <c r="A21" s="51">
        <v>11</v>
      </c>
      <c r="B21" s="52" t="s">
        <v>723</v>
      </c>
      <c r="C21" s="51">
        <v>28</v>
      </c>
      <c r="D21" s="52">
        <v>0</v>
      </c>
      <c r="E21" s="52">
        <v>4</v>
      </c>
      <c r="F21" s="52">
        <v>2</v>
      </c>
      <c r="G21" s="45">
        <f t="shared" si="0"/>
        <v>6</v>
      </c>
      <c r="H21" s="45">
        <f t="shared" si="1"/>
        <v>6</v>
      </c>
      <c r="I21" s="52">
        <v>22</v>
      </c>
      <c r="J21" s="52">
        <v>22</v>
      </c>
      <c r="K21" s="52"/>
    </row>
    <row r="22" spans="1:11" s="50" customFormat="1" ht="16.5" customHeight="1">
      <c r="A22" s="51">
        <v>12</v>
      </c>
      <c r="B22" s="52" t="s">
        <v>724</v>
      </c>
      <c r="C22" s="51">
        <v>31</v>
      </c>
      <c r="D22" s="52">
        <v>0</v>
      </c>
      <c r="E22" s="52">
        <v>4</v>
      </c>
      <c r="F22" s="52">
        <v>4</v>
      </c>
      <c r="G22" s="45">
        <f t="shared" si="0"/>
        <v>8</v>
      </c>
      <c r="H22" s="45">
        <f t="shared" si="1"/>
        <v>8</v>
      </c>
      <c r="I22" s="52">
        <v>23</v>
      </c>
      <c r="J22" s="52">
        <v>23</v>
      </c>
      <c r="K22" s="52"/>
    </row>
    <row r="23" spans="1:11" s="280" customFormat="1" ht="16.5" customHeight="1">
      <c r="A23" s="921" t="s">
        <v>13</v>
      </c>
      <c r="B23" s="922"/>
      <c r="C23" s="44">
        <v>365</v>
      </c>
      <c r="D23" s="53">
        <f aca="true" t="shared" si="2" ref="D23:J23">SUM(D11:D22)</f>
        <v>3</v>
      </c>
      <c r="E23" s="53">
        <f t="shared" si="2"/>
        <v>51</v>
      </c>
      <c r="F23" s="53">
        <f t="shared" si="2"/>
        <v>58</v>
      </c>
      <c r="G23" s="53">
        <f t="shared" si="2"/>
        <v>109</v>
      </c>
      <c r="H23" s="53">
        <f t="shared" si="2"/>
        <v>112</v>
      </c>
      <c r="I23" s="53">
        <f t="shared" si="2"/>
        <v>254</v>
      </c>
      <c r="J23" s="53">
        <f t="shared" si="2"/>
        <v>254</v>
      </c>
      <c r="K23" s="53"/>
    </row>
    <row r="24" spans="1:11" s="50" customFormat="1" ht="11.25" customHeight="1">
      <c r="A24" s="55"/>
      <c r="B24" s="56"/>
      <c r="C24" s="57"/>
      <c r="D24" s="55"/>
      <c r="E24" s="55"/>
      <c r="F24" s="55"/>
      <c r="G24" s="55"/>
      <c r="H24" s="55"/>
      <c r="I24" s="55"/>
      <c r="J24" s="55"/>
      <c r="K24" s="55"/>
    </row>
    <row r="25" spans="1:10" ht="15">
      <c r="A25" s="47" t="s">
        <v>99</v>
      </c>
      <c r="B25" s="47"/>
      <c r="C25" s="47"/>
      <c r="D25" s="47"/>
      <c r="E25" s="47"/>
      <c r="F25" s="47"/>
      <c r="G25" s="47"/>
      <c r="H25" s="47"/>
      <c r="I25" s="47"/>
      <c r="J25" s="47"/>
    </row>
    <row r="26" spans="1:10" ht="15">
      <c r="A26" s="47"/>
      <c r="B26" s="47"/>
      <c r="C26" s="47"/>
      <c r="D26" s="47"/>
      <c r="E26" s="47"/>
      <c r="F26" s="47"/>
      <c r="G26" s="47"/>
      <c r="H26" s="47"/>
      <c r="I26" s="47"/>
      <c r="J26" s="47"/>
    </row>
    <row r="27" spans="1:10" ht="15">
      <c r="A27" s="47"/>
      <c r="B27" s="47"/>
      <c r="C27" s="47"/>
      <c r="D27" s="47"/>
      <c r="E27" s="47"/>
      <c r="F27" s="47"/>
      <c r="G27" s="47"/>
      <c r="H27" s="47"/>
      <c r="I27" s="47"/>
      <c r="J27" s="47"/>
    </row>
    <row r="29" spans="1:10" ht="15">
      <c r="A29" s="47"/>
      <c r="B29" s="47"/>
      <c r="C29" s="47"/>
      <c r="D29" s="47"/>
      <c r="E29" s="47"/>
      <c r="F29" s="47"/>
      <c r="G29" s="47"/>
      <c r="H29" s="47"/>
      <c r="I29" s="47"/>
      <c r="J29" s="117"/>
    </row>
    <row r="30" spans="1:11" ht="15" customHeight="1">
      <c r="A30" s="559" t="s">
        <v>989</v>
      </c>
      <c r="B30" s="559"/>
      <c r="C30" s="559"/>
      <c r="D30" s="12"/>
      <c r="E30" s="12"/>
      <c r="F30" s="559" t="s">
        <v>990</v>
      </c>
      <c r="G30" s="559"/>
      <c r="H30" s="12"/>
      <c r="I30" s="559" t="s">
        <v>996</v>
      </c>
      <c r="J30" s="559"/>
      <c r="K30" s="559"/>
    </row>
    <row r="31" spans="1:11" ht="15" customHeight="1">
      <c r="A31" s="559" t="s">
        <v>991</v>
      </c>
      <c r="B31" s="559"/>
      <c r="C31" s="559"/>
      <c r="D31" s="12"/>
      <c r="E31" s="12"/>
      <c r="F31" s="559" t="s">
        <v>992</v>
      </c>
      <c r="G31" s="559"/>
      <c r="H31" s="12"/>
      <c r="I31" s="559" t="s">
        <v>993</v>
      </c>
      <c r="J31" s="559" t="s">
        <v>993</v>
      </c>
      <c r="K31" s="559"/>
    </row>
    <row r="32" spans="1:11" ht="15" customHeight="1">
      <c r="A32" s="559" t="s">
        <v>994</v>
      </c>
      <c r="B32" s="559"/>
      <c r="C32" s="559"/>
      <c r="D32" s="12"/>
      <c r="E32" s="12"/>
      <c r="F32" s="559" t="s">
        <v>995</v>
      </c>
      <c r="G32" s="559"/>
      <c r="H32" s="12"/>
      <c r="I32" s="559" t="s">
        <v>995</v>
      </c>
      <c r="J32" s="559" t="s">
        <v>995</v>
      </c>
      <c r="K32" s="559"/>
    </row>
  </sheetData>
  <sheetProtection/>
  <mergeCells count="25">
    <mergeCell ref="C1:H1"/>
    <mergeCell ref="A6:B6"/>
    <mergeCell ref="A5:K5"/>
    <mergeCell ref="I30:K30"/>
    <mergeCell ref="A23:B23"/>
    <mergeCell ref="A7:A9"/>
    <mergeCell ref="B7:B9"/>
    <mergeCell ref="C7:C9"/>
    <mergeCell ref="J7:J9"/>
    <mergeCell ref="A3:K3"/>
    <mergeCell ref="K7:K9"/>
    <mergeCell ref="H8:H9"/>
    <mergeCell ref="D8:D9"/>
    <mergeCell ref="A30:C30"/>
    <mergeCell ref="A2:K2"/>
    <mergeCell ref="F30:G30"/>
    <mergeCell ref="D7:H7"/>
    <mergeCell ref="E8:G8"/>
    <mergeCell ref="I7:I9"/>
    <mergeCell ref="A31:C31"/>
    <mergeCell ref="F31:G31"/>
    <mergeCell ref="I31:K31"/>
    <mergeCell ref="A32:C32"/>
    <mergeCell ref="F32:G32"/>
    <mergeCell ref="I32:K3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sheetPr>
    <tabColor rgb="FF92D050"/>
    <pageSetUpPr fitToPage="1"/>
  </sheetPr>
  <dimension ref="A1:R47"/>
  <sheetViews>
    <sheetView view="pageBreakPreview" zoomScaleNormal="70" zoomScaleSheetLayoutView="100" zoomScalePageLayoutView="0" workbookViewId="0" topLeftCell="A10">
      <selection activeCell="G11" sqref="G11:G34"/>
    </sheetView>
  </sheetViews>
  <sheetFormatPr defaultColWidth="9.140625" defaultRowHeight="12.75"/>
  <cols>
    <col min="1" max="1" width="5.57421875" style="239" customWidth="1"/>
    <col min="2" max="2" width="15.8515625" style="239" customWidth="1"/>
    <col min="3" max="3" width="10.28125" style="239" customWidth="1"/>
    <col min="4" max="4" width="8.421875" style="239" customWidth="1"/>
    <col min="5" max="6" width="9.8515625" style="239" customWidth="1"/>
    <col min="7" max="7" width="10.8515625" style="239" customWidth="1"/>
    <col min="8" max="8" width="12.8515625" style="239" customWidth="1"/>
    <col min="9" max="9" width="8.7109375" style="239" customWidth="1"/>
    <col min="10" max="10" width="10.00390625" style="239" bestFit="1" customWidth="1"/>
    <col min="11" max="11" width="8.00390625" style="239" customWidth="1"/>
    <col min="12" max="12" width="8.140625" style="239" customWidth="1"/>
    <col min="13" max="13" width="8.57421875" style="239" bestFit="1" customWidth="1"/>
    <col min="14" max="14" width="8.140625" style="239" customWidth="1"/>
    <col min="15" max="15" width="8.421875" style="239" customWidth="1"/>
    <col min="16" max="16" width="8.140625" style="239" customWidth="1"/>
    <col min="17" max="17" width="8.8515625" style="239" customWidth="1"/>
    <col min="18" max="18" width="8.140625" style="239" customWidth="1"/>
    <col min="19" max="16384" width="9.140625" style="239" customWidth="1"/>
  </cols>
  <sheetData>
    <row r="1" spans="7:18" ht="12.75" customHeight="1">
      <c r="G1" s="932"/>
      <c r="H1" s="932"/>
      <c r="I1" s="932"/>
      <c r="Q1" s="933" t="s">
        <v>543</v>
      </c>
      <c r="R1" s="933"/>
    </row>
    <row r="2" spans="1:18" ht="15.75">
      <c r="A2" s="930" t="s">
        <v>0</v>
      </c>
      <c r="B2" s="930"/>
      <c r="C2" s="930"/>
      <c r="D2" s="930"/>
      <c r="E2" s="930"/>
      <c r="F2" s="930"/>
      <c r="G2" s="930"/>
      <c r="H2" s="930"/>
      <c r="I2" s="930"/>
      <c r="J2" s="930"/>
      <c r="K2" s="930"/>
      <c r="L2" s="930"/>
      <c r="M2" s="930"/>
      <c r="N2" s="930"/>
      <c r="O2" s="930"/>
      <c r="P2" s="930"/>
      <c r="Q2" s="930"/>
      <c r="R2" s="930"/>
    </row>
    <row r="3" spans="1:18" ht="18">
      <c r="A3" s="931" t="s">
        <v>645</v>
      </c>
      <c r="B3" s="931"/>
      <c r="C3" s="931"/>
      <c r="D3" s="931"/>
      <c r="E3" s="931"/>
      <c r="F3" s="931"/>
      <c r="G3" s="931"/>
      <c r="H3" s="931"/>
      <c r="I3" s="931"/>
      <c r="J3" s="931"/>
      <c r="K3" s="931"/>
      <c r="L3" s="931"/>
      <c r="M3" s="931"/>
      <c r="N3" s="931"/>
      <c r="O3" s="931"/>
      <c r="P3" s="931"/>
      <c r="Q3" s="931"/>
      <c r="R3" s="931"/>
    </row>
    <row r="4" spans="1:18" ht="12.75" customHeight="1">
      <c r="A4" s="929" t="s">
        <v>732</v>
      </c>
      <c r="B4" s="929"/>
      <c r="C4" s="929"/>
      <c r="D4" s="929"/>
      <c r="E4" s="929"/>
      <c r="F4" s="929"/>
      <c r="G4" s="929"/>
      <c r="H4" s="929"/>
      <c r="I4" s="929"/>
      <c r="J4" s="929"/>
      <c r="K4" s="929"/>
      <c r="L4" s="929"/>
      <c r="M4" s="929"/>
      <c r="N4" s="929"/>
      <c r="O4" s="929"/>
      <c r="P4" s="929"/>
      <c r="Q4" s="929"/>
      <c r="R4" s="929"/>
    </row>
    <row r="5" spans="1:18" s="284" customFormat="1" ht="7.5" customHeight="1">
      <c r="A5" s="929"/>
      <c r="B5" s="929"/>
      <c r="C5" s="929"/>
      <c r="D5" s="929"/>
      <c r="E5" s="929"/>
      <c r="F5" s="929"/>
      <c r="G5" s="929"/>
      <c r="H5" s="929"/>
      <c r="I5" s="929"/>
      <c r="J5" s="929"/>
      <c r="K5" s="929"/>
      <c r="L5" s="929"/>
      <c r="M5" s="929"/>
      <c r="N5" s="929"/>
      <c r="O5" s="929"/>
      <c r="P5" s="929"/>
      <c r="Q5" s="929"/>
      <c r="R5" s="929"/>
    </row>
    <row r="6" spans="1:18" ht="12.75">
      <c r="A6" s="924"/>
      <c r="B6" s="924"/>
      <c r="C6" s="924"/>
      <c r="D6" s="924"/>
      <c r="E6" s="924"/>
      <c r="F6" s="924"/>
      <c r="G6" s="924"/>
      <c r="H6" s="924"/>
      <c r="I6" s="924"/>
      <c r="J6" s="924"/>
      <c r="K6" s="924"/>
      <c r="L6" s="924"/>
      <c r="M6" s="924"/>
      <c r="N6" s="924"/>
      <c r="O6" s="924"/>
      <c r="P6" s="924"/>
      <c r="Q6" s="924"/>
      <c r="R6" s="924"/>
    </row>
    <row r="7" spans="1:18" ht="12.75">
      <c r="A7" s="926" t="s">
        <v>157</v>
      </c>
      <c r="B7" s="926"/>
      <c r="H7" s="285"/>
      <c r="L7" s="925"/>
      <c r="M7" s="925"/>
      <c r="N7" s="925"/>
      <c r="O7" s="925"/>
      <c r="P7" s="925"/>
      <c r="Q7" s="925"/>
      <c r="R7" s="925"/>
    </row>
    <row r="8" spans="1:18" ht="24.75" customHeight="1">
      <c r="A8" s="738" t="s">
        <v>1</v>
      </c>
      <c r="B8" s="738" t="s">
        <v>2</v>
      </c>
      <c r="C8" s="740" t="s">
        <v>494</v>
      </c>
      <c r="D8" s="741"/>
      <c r="E8" s="741"/>
      <c r="F8" s="741"/>
      <c r="G8" s="742"/>
      <c r="H8" s="927" t="s">
        <v>78</v>
      </c>
      <c r="I8" s="740" t="s">
        <v>79</v>
      </c>
      <c r="J8" s="741"/>
      <c r="K8" s="741"/>
      <c r="L8" s="742"/>
      <c r="M8" s="740" t="s">
        <v>726</v>
      </c>
      <c r="N8" s="741"/>
      <c r="O8" s="741"/>
      <c r="P8" s="741"/>
      <c r="Q8" s="741"/>
      <c r="R8" s="741"/>
    </row>
    <row r="9" spans="1:18" ht="44.25" customHeight="1">
      <c r="A9" s="738"/>
      <c r="B9" s="738"/>
      <c r="C9" s="22" t="s">
        <v>4</v>
      </c>
      <c r="D9" s="22" t="s">
        <v>5</v>
      </c>
      <c r="E9" s="22" t="s">
        <v>358</v>
      </c>
      <c r="F9" s="283" t="s">
        <v>93</v>
      </c>
      <c r="G9" s="283" t="s">
        <v>228</v>
      </c>
      <c r="H9" s="928"/>
      <c r="I9" s="22" t="s">
        <v>177</v>
      </c>
      <c r="J9" s="22" t="s">
        <v>110</v>
      </c>
      <c r="K9" s="22" t="s">
        <v>111</v>
      </c>
      <c r="L9" s="22" t="s">
        <v>442</v>
      </c>
      <c r="M9" s="22" t="s">
        <v>13</v>
      </c>
      <c r="N9" s="22" t="s">
        <v>727</v>
      </c>
      <c r="O9" s="22" t="s">
        <v>728</v>
      </c>
      <c r="P9" s="22" t="s">
        <v>729</v>
      </c>
      <c r="Q9" s="22" t="s">
        <v>730</v>
      </c>
      <c r="R9" s="22" t="s">
        <v>731</v>
      </c>
    </row>
    <row r="10" spans="1:18" s="238" customFormat="1" ht="12.75">
      <c r="A10" s="22">
        <v>1</v>
      </c>
      <c r="B10" s="22">
        <v>2</v>
      </c>
      <c r="C10" s="22">
        <v>3</v>
      </c>
      <c r="D10" s="22">
        <v>4</v>
      </c>
      <c r="E10" s="22">
        <v>5</v>
      </c>
      <c r="F10" s="22">
        <v>6</v>
      </c>
      <c r="G10" s="22">
        <v>7</v>
      </c>
      <c r="H10" s="22">
        <v>8</v>
      </c>
      <c r="I10" s="22">
        <v>9</v>
      </c>
      <c r="J10" s="22">
        <v>10</v>
      </c>
      <c r="K10" s="22">
        <v>11</v>
      </c>
      <c r="L10" s="22">
        <v>12</v>
      </c>
      <c r="M10" s="22">
        <v>13</v>
      </c>
      <c r="N10" s="22">
        <v>14</v>
      </c>
      <c r="O10" s="22">
        <v>15</v>
      </c>
      <c r="P10" s="22">
        <v>16</v>
      </c>
      <c r="Q10" s="22">
        <v>17</v>
      </c>
      <c r="R10" s="22">
        <v>18</v>
      </c>
    </row>
    <row r="11" spans="1:18" ht="12.75">
      <c r="A11" s="286">
        <v>1</v>
      </c>
      <c r="B11" s="224" t="s">
        <v>831</v>
      </c>
      <c r="C11" s="287">
        <v>115289</v>
      </c>
      <c r="D11" s="287">
        <v>23264</v>
      </c>
      <c r="E11" s="287">
        <v>0</v>
      </c>
      <c r="F11" s="287">
        <v>112</v>
      </c>
      <c r="G11" s="287">
        <f aca="true" t="shared" si="0" ref="G11:G34">SUM(C11:F11)</f>
        <v>138665</v>
      </c>
      <c r="H11" s="463">
        <v>254</v>
      </c>
      <c r="I11" s="464">
        <f>J11</f>
        <v>3522.0910000000003</v>
      </c>
      <c r="J11" s="464">
        <f>G11*H11*0.0001</f>
        <v>3522.0910000000003</v>
      </c>
      <c r="K11" s="287"/>
      <c r="L11" s="287"/>
      <c r="M11" s="464">
        <f>G11*H11*0.00002</f>
        <v>704.4182000000001</v>
      </c>
      <c r="N11" s="275" t="s">
        <v>912</v>
      </c>
      <c r="O11" s="275" t="s">
        <v>913</v>
      </c>
      <c r="P11" s="287"/>
      <c r="Q11" s="287"/>
      <c r="R11" s="287"/>
    </row>
    <row r="12" spans="1:18" ht="12.75">
      <c r="A12" s="286">
        <v>2</v>
      </c>
      <c r="B12" s="224" t="s">
        <v>832</v>
      </c>
      <c r="C12" s="287">
        <v>38888</v>
      </c>
      <c r="D12" s="287">
        <v>14922</v>
      </c>
      <c r="E12" s="287">
        <v>0</v>
      </c>
      <c r="F12" s="287">
        <v>0</v>
      </c>
      <c r="G12" s="287">
        <f t="shared" si="0"/>
        <v>53810</v>
      </c>
      <c r="H12" s="463">
        <v>254</v>
      </c>
      <c r="I12" s="464">
        <f aca="true" t="shared" si="1" ref="I12:I34">J12</f>
        <v>1366.7740000000001</v>
      </c>
      <c r="J12" s="464">
        <f aca="true" t="shared" si="2" ref="J12:J34">G12*H12*0.0001</f>
        <v>1366.7740000000001</v>
      </c>
      <c r="K12" s="287"/>
      <c r="L12" s="287"/>
      <c r="M12" s="464">
        <f aca="true" t="shared" si="3" ref="M12:M34">G12*H12*0.00002</f>
        <v>273.3548</v>
      </c>
      <c r="N12" s="275" t="s">
        <v>912</v>
      </c>
      <c r="O12" s="275" t="s">
        <v>913</v>
      </c>
      <c r="P12" s="287"/>
      <c r="Q12" s="287"/>
      <c r="R12" s="287"/>
    </row>
    <row r="13" spans="1:18" ht="12.75">
      <c r="A13" s="286">
        <v>3</v>
      </c>
      <c r="B13" s="224" t="s">
        <v>833</v>
      </c>
      <c r="C13" s="287">
        <v>36903</v>
      </c>
      <c r="D13" s="287">
        <v>2333</v>
      </c>
      <c r="E13" s="287">
        <v>0</v>
      </c>
      <c r="F13" s="287">
        <v>0</v>
      </c>
      <c r="G13" s="287">
        <f t="shared" si="0"/>
        <v>39236</v>
      </c>
      <c r="H13" s="463">
        <v>254</v>
      </c>
      <c r="I13" s="464">
        <f t="shared" si="1"/>
        <v>996.5944000000001</v>
      </c>
      <c r="J13" s="464">
        <f t="shared" si="2"/>
        <v>996.5944000000001</v>
      </c>
      <c r="K13" s="287"/>
      <c r="L13" s="287"/>
      <c r="M13" s="464">
        <f t="shared" si="3"/>
        <v>199.31888</v>
      </c>
      <c r="N13" s="275" t="s">
        <v>912</v>
      </c>
      <c r="O13" s="275" t="s">
        <v>913</v>
      </c>
      <c r="P13" s="287"/>
      <c r="Q13" s="287"/>
      <c r="R13" s="287"/>
    </row>
    <row r="14" spans="1:18" ht="12.75">
      <c r="A14" s="286">
        <v>4</v>
      </c>
      <c r="B14" s="224" t="s">
        <v>834</v>
      </c>
      <c r="C14" s="287">
        <v>83643</v>
      </c>
      <c r="D14" s="287">
        <v>25171</v>
      </c>
      <c r="E14" s="287">
        <v>0</v>
      </c>
      <c r="F14" s="287">
        <v>110</v>
      </c>
      <c r="G14" s="287">
        <f t="shared" si="0"/>
        <v>108924</v>
      </c>
      <c r="H14" s="463">
        <v>254</v>
      </c>
      <c r="I14" s="464">
        <f t="shared" si="1"/>
        <v>2766.6696</v>
      </c>
      <c r="J14" s="464">
        <f t="shared" si="2"/>
        <v>2766.6696</v>
      </c>
      <c r="K14" s="287"/>
      <c r="L14" s="287"/>
      <c r="M14" s="464">
        <f t="shared" si="3"/>
        <v>553.33392</v>
      </c>
      <c r="N14" s="275" t="s">
        <v>912</v>
      </c>
      <c r="O14" s="275" t="s">
        <v>913</v>
      </c>
      <c r="P14" s="287"/>
      <c r="Q14" s="287"/>
      <c r="R14" s="287"/>
    </row>
    <row r="15" spans="1:18" ht="12.75">
      <c r="A15" s="286">
        <v>5</v>
      </c>
      <c r="B15" s="224" t="s">
        <v>835</v>
      </c>
      <c r="C15" s="287">
        <v>32786</v>
      </c>
      <c r="D15" s="287">
        <v>24953</v>
      </c>
      <c r="E15" s="287">
        <v>0</v>
      </c>
      <c r="F15" s="287">
        <v>0</v>
      </c>
      <c r="G15" s="287">
        <f t="shared" si="0"/>
        <v>57739</v>
      </c>
      <c r="H15" s="463">
        <v>254</v>
      </c>
      <c r="I15" s="464">
        <f t="shared" si="1"/>
        <v>1466.5706</v>
      </c>
      <c r="J15" s="464">
        <f t="shared" si="2"/>
        <v>1466.5706</v>
      </c>
      <c r="K15" s="287"/>
      <c r="L15" s="287"/>
      <c r="M15" s="464">
        <f t="shared" si="3"/>
        <v>293.31412</v>
      </c>
      <c r="N15" s="275" t="s">
        <v>912</v>
      </c>
      <c r="O15" s="275" t="s">
        <v>913</v>
      </c>
      <c r="P15" s="287"/>
      <c r="Q15" s="287"/>
      <c r="R15" s="287"/>
    </row>
    <row r="16" spans="1:18" ht="12.75">
      <c r="A16" s="286">
        <v>6</v>
      </c>
      <c r="B16" s="224" t="s">
        <v>836</v>
      </c>
      <c r="C16" s="287">
        <v>82199</v>
      </c>
      <c r="D16" s="287">
        <v>9427</v>
      </c>
      <c r="E16" s="287">
        <v>0</v>
      </c>
      <c r="F16" s="287">
        <v>38</v>
      </c>
      <c r="G16" s="287">
        <f>SUM(C16:F16)</f>
        <v>91664</v>
      </c>
      <c r="H16" s="463">
        <v>254</v>
      </c>
      <c r="I16" s="464">
        <f t="shared" si="1"/>
        <v>2328.2656</v>
      </c>
      <c r="J16" s="464">
        <f t="shared" si="2"/>
        <v>2328.2656</v>
      </c>
      <c r="K16" s="287"/>
      <c r="L16" s="287"/>
      <c r="M16" s="464">
        <f t="shared" si="3"/>
        <v>465.65312000000006</v>
      </c>
      <c r="N16" s="275" t="s">
        <v>912</v>
      </c>
      <c r="O16" s="275" t="s">
        <v>913</v>
      </c>
      <c r="P16" s="287"/>
      <c r="Q16" s="287"/>
      <c r="R16" s="287"/>
    </row>
    <row r="17" spans="1:18" ht="12.75">
      <c r="A17" s="286">
        <v>7</v>
      </c>
      <c r="B17" s="224" t="s">
        <v>837</v>
      </c>
      <c r="C17" s="287">
        <v>67896</v>
      </c>
      <c r="D17" s="287">
        <v>0</v>
      </c>
      <c r="E17" s="287">
        <v>0</v>
      </c>
      <c r="F17" s="287">
        <v>0</v>
      </c>
      <c r="G17" s="287">
        <f t="shared" si="0"/>
        <v>67896</v>
      </c>
      <c r="H17" s="463">
        <v>254</v>
      </c>
      <c r="I17" s="464">
        <f t="shared" si="1"/>
        <v>1724.5584000000001</v>
      </c>
      <c r="J17" s="464">
        <f t="shared" si="2"/>
        <v>1724.5584000000001</v>
      </c>
      <c r="K17" s="287"/>
      <c r="L17" s="287"/>
      <c r="M17" s="464">
        <f t="shared" si="3"/>
        <v>344.91168000000005</v>
      </c>
      <c r="N17" s="275" t="s">
        <v>912</v>
      </c>
      <c r="O17" s="275" t="s">
        <v>913</v>
      </c>
      <c r="P17" s="287"/>
      <c r="Q17" s="287"/>
      <c r="R17" s="287"/>
    </row>
    <row r="18" spans="1:18" ht="12.75">
      <c r="A18" s="286">
        <v>8</v>
      </c>
      <c r="B18" s="224" t="s">
        <v>838</v>
      </c>
      <c r="C18" s="287">
        <v>136132</v>
      </c>
      <c r="D18" s="287">
        <v>7739</v>
      </c>
      <c r="E18" s="287">
        <v>0</v>
      </c>
      <c r="F18" s="287">
        <v>41</v>
      </c>
      <c r="G18" s="287">
        <f t="shared" si="0"/>
        <v>143912</v>
      </c>
      <c r="H18" s="463">
        <v>254</v>
      </c>
      <c r="I18" s="464">
        <f t="shared" si="1"/>
        <v>3655.3648000000003</v>
      </c>
      <c r="J18" s="464">
        <f t="shared" si="2"/>
        <v>3655.3648000000003</v>
      </c>
      <c r="K18" s="287"/>
      <c r="L18" s="287"/>
      <c r="M18" s="464">
        <f t="shared" si="3"/>
        <v>731.0729600000001</v>
      </c>
      <c r="N18" s="275" t="s">
        <v>912</v>
      </c>
      <c r="O18" s="275" t="s">
        <v>913</v>
      </c>
      <c r="P18" s="287"/>
      <c r="Q18" s="287"/>
      <c r="R18" s="287"/>
    </row>
    <row r="19" spans="1:18" ht="12.75">
      <c r="A19" s="286">
        <v>9</v>
      </c>
      <c r="B19" s="224" t="s">
        <v>839</v>
      </c>
      <c r="C19" s="287">
        <v>198737</v>
      </c>
      <c r="D19" s="287">
        <v>1052</v>
      </c>
      <c r="E19" s="287">
        <v>0</v>
      </c>
      <c r="F19" s="287">
        <v>458</v>
      </c>
      <c r="G19" s="287">
        <f t="shared" si="0"/>
        <v>200247</v>
      </c>
      <c r="H19" s="463">
        <v>254</v>
      </c>
      <c r="I19" s="464">
        <f t="shared" si="1"/>
        <v>5086.2738</v>
      </c>
      <c r="J19" s="464">
        <f t="shared" si="2"/>
        <v>5086.2738</v>
      </c>
      <c r="K19" s="287"/>
      <c r="L19" s="287"/>
      <c r="M19" s="464">
        <f t="shared" si="3"/>
        <v>1017.25476</v>
      </c>
      <c r="N19" s="275" t="s">
        <v>912</v>
      </c>
      <c r="O19" s="275" t="s">
        <v>913</v>
      </c>
      <c r="P19" s="287"/>
      <c r="Q19" s="287"/>
      <c r="R19" s="287"/>
    </row>
    <row r="20" spans="1:18" ht="12.75">
      <c r="A20" s="286">
        <v>10</v>
      </c>
      <c r="B20" s="224" t="s">
        <v>840</v>
      </c>
      <c r="C20" s="287">
        <f>13175+9868+7897+6503+3941+9679+8311+3134+4283</f>
        <v>66791</v>
      </c>
      <c r="D20" s="287">
        <f>546+456+2598</f>
        <v>3600</v>
      </c>
      <c r="E20" s="287">
        <v>0</v>
      </c>
      <c r="F20" s="287">
        <v>0</v>
      </c>
      <c r="G20" s="287">
        <f t="shared" si="0"/>
        <v>70391</v>
      </c>
      <c r="H20" s="463">
        <v>254</v>
      </c>
      <c r="I20" s="464">
        <f t="shared" si="1"/>
        <v>1787.9314000000002</v>
      </c>
      <c r="J20" s="464">
        <f t="shared" si="2"/>
        <v>1787.9314000000002</v>
      </c>
      <c r="K20" s="287"/>
      <c r="L20" s="287"/>
      <c r="M20" s="464">
        <f t="shared" si="3"/>
        <v>357.58628000000004</v>
      </c>
      <c r="N20" s="275" t="s">
        <v>912</v>
      </c>
      <c r="O20" s="275" t="s">
        <v>913</v>
      </c>
      <c r="P20" s="287"/>
      <c r="Q20" s="287"/>
      <c r="R20" s="287"/>
    </row>
    <row r="21" spans="1:18" ht="12.75">
      <c r="A21" s="286">
        <v>11</v>
      </c>
      <c r="B21" s="224" t="s">
        <v>841</v>
      </c>
      <c r="C21" s="287">
        <v>116467</v>
      </c>
      <c r="D21" s="287">
        <v>1027</v>
      </c>
      <c r="E21" s="287">
        <v>0</v>
      </c>
      <c r="F21" s="287">
        <v>108</v>
      </c>
      <c r="G21" s="287">
        <f t="shared" si="0"/>
        <v>117602</v>
      </c>
      <c r="H21" s="463">
        <v>254</v>
      </c>
      <c r="I21" s="464">
        <f t="shared" si="1"/>
        <v>2987.0908</v>
      </c>
      <c r="J21" s="464">
        <f t="shared" si="2"/>
        <v>2987.0908</v>
      </c>
      <c r="K21" s="287"/>
      <c r="L21" s="287"/>
      <c r="M21" s="464">
        <f t="shared" si="3"/>
        <v>597.4181600000001</v>
      </c>
      <c r="N21" s="275" t="s">
        <v>912</v>
      </c>
      <c r="O21" s="275" t="s">
        <v>913</v>
      </c>
      <c r="P21" s="287"/>
      <c r="Q21" s="287"/>
      <c r="R21" s="287"/>
    </row>
    <row r="22" spans="1:18" ht="12.75">
      <c r="A22" s="286">
        <v>12</v>
      </c>
      <c r="B22" s="224" t="s">
        <v>842</v>
      </c>
      <c r="C22" s="287">
        <v>108859</v>
      </c>
      <c r="D22" s="287">
        <v>773</v>
      </c>
      <c r="E22" s="287">
        <v>0</v>
      </c>
      <c r="F22" s="287">
        <v>343</v>
      </c>
      <c r="G22" s="287">
        <f t="shared" si="0"/>
        <v>109975</v>
      </c>
      <c r="H22" s="463">
        <v>254</v>
      </c>
      <c r="I22" s="464">
        <f t="shared" si="1"/>
        <v>2793.3650000000002</v>
      </c>
      <c r="J22" s="464">
        <f t="shared" si="2"/>
        <v>2793.3650000000002</v>
      </c>
      <c r="K22" s="287"/>
      <c r="L22" s="287"/>
      <c r="M22" s="464">
        <f t="shared" si="3"/>
        <v>558.673</v>
      </c>
      <c r="N22" s="275" t="s">
        <v>912</v>
      </c>
      <c r="O22" s="275" t="s">
        <v>913</v>
      </c>
      <c r="P22" s="287"/>
      <c r="Q22" s="287"/>
      <c r="R22" s="287"/>
    </row>
    <row r="23" spans="1:18" ht="12.75">
      <c r="A23" s="286">
        <v>13</v>
      </c>
      <c r="B23" s="224" t="s">
        <v>843</v>
      </c>
      <c r="C23" s="287">
        <v>45528</v>
      </c>
      <c r="D23" s="287">
        <v>570</v>
      </c>
      <c r="E23" s="287">
        <v>0</v>
      </c>
      <c r="F23" s="287">
        <v>190</v>
      </c>
      <c r="G23" s="287">
        <f t="shared" si="0"/>
        <v>46288</v>
      </c>
      <c r="H23" s="463">
        <v>254</v>
      </c>
      <c r="I23" s="464">
        <f t="shared" si="1"/>
        <v>1175.7152</v>
      </c>
      <c r="J23" s="464">
        <f t="shared" si="2"/>
        <v>1175.7152</v>
      </c>
      <c r="K23" s="287"/>
      <c r="L23" s="287"/>
      <c r="M23" s="464">
        <f t="shared" si="3"/>
        <v>235.14304</v>
      </c>
      <c r="N23" s="275" t="s">
        <v>912</v>
      </c>
      <c r="O23" s="275" t="s">
        <v>913</v>
      </c>
      <c r="P23" s="287"/>
      <c r="Q23" s="287"/>
      <c r="R23" s="287"/>
    </row>
    <row r="24" spans="1:18" ht="12.75">
      <c r="A24" s="286">
        <v>14</v>
      </c>
      <c r="B24" s="224" t="s">
        <v>844</v>
      </c>
      <c r="C24" s="287">
        <v>68559</v>
      </c>
      <c r="D24" s="287">
        <v>438</v>
      </c>
      <c r="E24" s="287">
        <v>0</v>
      </c>
      <c r="F24" s="287">
        <v>502</v>
      </c>
      <c r="G24" s="287">
        <f t="shared" si="0"/>
        <v>69499</v>
      </c>
      <c r="H24" s="463">
        <v>254</v>
      </c>
      <c r="I24" s="464">
        <f t="shared" si="1"/>
        <v>1765.2746000000002</v>
      </c>
      <c r="J24" s="464">
        <f t="shared" si="2"/>
        <v>1765.2746000000002</v>
      </c>
      <c r="K24" s="287"/>
      <c r="L24" s="287"/>
      <c r="M24" s="464">
        <f t="shared" si="3"/>
        <v>353.05492000000004</v>
      </c>
      <c r="N24" s="275" t="s">
        <v>912</v>
      </c>
      <c r="O24" s="275" t="s">
        <v>913</v>
      </c>
      <c r="P24" s="287"/>
      <c r="Q24" s="287"/>
      <c r="R24" s="287"/>
    </row>
    <row r="25" spans="1:18" ht="12.75">
      <c r="A25" s="286">
        <v>15</v>
      </c>
      <c r="B25" s="224" t="s">
        <v>845</v>
      </c>
      <c r="C25" s="287">
        <v>112837</v>
      </c>
      <c r="D25" s="287">
        <v>495</v>
      </c>
      <c r="E25" s="287">
        <v>0</v>
      </c>
      <c r="F25" s="287">
        <v>262</v>
      </c>
      <c r="G25" s="287">
        <f t="shared" si="0"/>
        <v>113594</v>
      </c>
      <c r="H25" s="463">
        <v>254</v>
      </c>
      <c r="I25" s="464">
        <f t="shared" si="1"/>
        <v>2885.2876</v>
      </c>
      <c r="J25" s="464">
        <f t="shared" si="2"/>
        <v>2885.2876</v>
      </c>
      <c r="K25" s="287"/>
      <c r="L25" s="287"/>
      <c r="M25" s="464">
        <f t="shared" si="3"/>
        <v>577.0575200000001</v>
      </c>
      <c r="N25" s="275" t="s">
        <v>912</v>
      </c>
      <c r="O25" s="275" t="s">
        <v>913</v>
      </c>
      <c r="P25" s="287"/>
      <c r="Q25" s="287"/>
      <c r="R25" s="287"/>
    </row>
    <row r="26" spans="1:18" ht="12.75">
      <c r="A26" s="286">
        <v>16</v>
      </c>
      <c r="B26" s="224" t="s">
        <v>846</v>
      </c>
      <c r="C26" s="287">
        <v>181921</v>
      </c>
      <c r="D26" s="287">
        <v>3337</v>
      </c>
      <c r="E26" s="287">
        <v>0</v>
      </c>
      <c r="F26" s="287">
        <v>539</v>
      </c>
      <c r="G26" s="287">
        <f t="shared" si="0"/>
        <v>185797</v>
      </c>
      <c r="H26" s="463">
        <v>254</v>
      </c>
      <c r="I26" s="464">
        <f t="shared" si="1"/>
        <v>4719.2438</v>
      </c>
      <c r="J26" s="464">
        <f t="shared" si="2"/>
        <v>4719.2438</v>
      </c>
      <c r="K26" s="287"/>
      <c r="L26" s="287"/>
      <c r="M26" s="464">
        <f t="shared" si="3"/>
        <v>943.8487600000001</v>
      </c>
      <c r="N26" s="275" t="s">
        <v>912</v>
      </c>
      <c r="O26" s="275" t="s">
        <v>913</v>
      </c>
      <c r="P26" s="287"/>
      <c r="Q26" s="287"/>
      <c r="R26" s="287"/>
    </row>
    <row r="27" spans="1:18" ht="12.75">
      <c r="A27" s="286">
        <v>17</v>
      </c>
      <c r="B27" s="224" t="s">
        <v>847</v>
      </c>
      <c r="C27" s="287">
        <v>125120</v>
      </c>
      <c r="D27" s="287">
        <v>2569</v>
      </c>
      <c r="E27" s="287">
        <v>0</v>
      </c>
      <c r="F27" s="287">
        <v>92</v>
      </c>
      <c r="G27" s="287">
        <f t="shared" si="0"/>
        <v>127781</v>
      </c>
      <c r="H27" s="463">
        <v>254</v>
      </c>
      <c r="I27" s="464">
        <f t="shared" si="1"/>
        <v>3245.6374</v>
      </c>
      <c r="J27" s="464">
        <f t="shared" si="2"/>
        <v>3245.6374</v>
      </c>
      <c r="K27" s="287"/>
      <c r="L27" s="287"/>
      <c r="M27" s="464">
        <f t="shared" si="3"/>
        <v>649.1274800000001</v>
      </c>
      <c r="N27" s="275" t="s">
        <v>912</v>
      </c>
      <c r="O27" s="275" t="s">
        <v>913</v>
      </c>
      <c r="P27" s="287"/>
      <c r="Q27" s="287"/>
      <c r="R27" s="287"/>
    </row>
    <row r="28" spans="1:18" ht="12.75">
      <c r="A28" s="286">
        <v>18</v>
      </c>
      <c r="B28" s="224" t="s">
        <v>848</v>
      </c>
      <c r="C28" s="287">
        <v>97426</v>
      </c>
      <c r="D28" s="287">
        <v>109</v>
      </c>
      <c r="E28" s="287">
        <v>0</v>
      </c>
      <c r="F28" s="287">
        <v>73</v>
      </c>
      <c r="G28" s="287">
        <f t="shared" si="0"/>
        <v>97608</v>
      </c>
      <c r="H28" s="463">
        <v>254</v>
      </c>
      <c r="I28" s="464">
        <f t="shared" si="1"/>
        <v>2479.2432000000003</v>
      </c>
      <c r="J28" s="464">
        <f t="shared" si="2"/>
        <v>2479.2432000000003</v>
      </c>
      <c r="K28" s="287"/>
      <c r="L28" s="287"/>
      <c r="M28" s="464">
        <f t="shared" si="3"/>
        <v>495.84864000000005</v>
      </c>
      <c r="N28" s="275" t="s">
        <v>912</v>
      </c>
      <c r="O28" s="275" t="s">
        <v>913</v>
      </c>
      <c r="P28" s="287"/>
      <c r="Q28" s="287"/>
      <c r="R28" s="287"/>
    </row>
    <row r="29" spans="1:18" ht="12.75">
      <c r="A29" s="286">
        <v>19</v>
      </c>
      <c r="B29" s="224" t="s">
        <v>849</v>
      </c>
      <c r="C29" s="287">
        <v>98611</v>
      </c>
      <c r="D29" s="287">
        <v>1721</v>
      </c>
      <c r="E29" s="287">
        <v>0</v>
      </c>
      <c r="F29" s="287">
        <v>74</v>
      </c>
      <c r="G29" s="287">
        <f t="shared" si="0"/>
        <v>100406</v>
      </c>
      <c r="H29" s="463">
        <v>254</v>
      </c>
      <c r="I29" s="464">
        <f t="shared" si="1"/>
        <v>2550.3124000000003</v>
      </c>
      <c r="J29" s="464">
        <f t="shared" si="2"/>
        <v>2550.3124000000003</v>
      </c>
      <c r="K29" s="287"/>
      <c r="L29" s="287"/>
      <c r="M29" s="464">
        <f t="shared" si="3"/>
        <v>510.06248000000005</v>
      </c>
      <c r="N29" s="275" t="s">
        <v>912</v>
      </c>
      <c r="O29" s="275" t="s">
        <v>913</v>
      </c>
      <c r="P29" s="287"/>
      <c r="Q29" s="287"/>
      <c r="R29" s="287"/>
    </row>
    <row r="30" spans="1:18" ht="12.75">
      <c r="A30" s="286">
        <v>20</v>
      </c>
      <c r="B30" s="224" t="s">
        <v>850</v>
      </c>
      <c r="C30" s="287">
        <v>61375</v>
      </c>
      <c r="D30" s="287">
        <v>278</v>
      </c>
      <c r="E30" s="287">
        <v>0</v>
      </c>
      <c r="F30" s="287">
        <v>199</v>
      </c>
      <c r="G30" s="287">
        <f t="shared" si="0"/>
        <v>61852</v>
      </c>
      <c r="H30" s="463">
        <v>254</v>
      </c>
      <c r="I30" s="464">
        <f t="shared" si="1"/>
        <v>1571.0408</v>
      </c>
      <c r="J30" s="464">
        <f t="shared" si="2"/>
        <v>1571.0408</v>
      </c>
      <c r="K30" s="287"/>
      <c r="L30" s="287"/>
      <c r="M30" s="464">
        <f t="shared" si="3"/>
        <v>314.20816</v>
      </c>
      <c r="N30" s="275" t="s">
        <v>912</v>
      </c>
      <c r="O30" s="275" t="s">
        <v>913</v>
      </c>
      <c r="P30" s="287"/>
      <c r="Q30" s="287"/>
      <c r="R30" s="287"/>
    </row>
    <row r="31" spans="1:18" ht="12.75">
      <c r="A31" s="286">
        <v>21</v>
      </c>
      <c r="B31" s="224" t="s">
        <v>851</v>
      </c>
      <c r="C31" s="287">
        <v>95313</v>
      </c>
      <c r="D31" s="287">
        <v>1554</v>
      </c>
      <c r="E31" s="287">
        <v>0</v>
      </c>
      <c r="F31" s="287">
        <v>3623</v>
      </c>
      <c r="G31" s="287">
        <f t="shared" si="0"/>
        <v>100490</v>
      </c>
      <c r="H31" s="463">
        <v>254</v>
      </c>
      <c r="I31" s="464">
        <f t="shared" si="1"/>
        <v>2552.446</v>
      </c>
      <c r="J31" s="464">
        <f t="shared" si="2"/>
        <v>2552.446</v>
      </c>
      <c r="K31" s="287"/>
      <c r="L31" s="287"/>
      <c r="M31" s="464">
        <f t="shared" si="3"/>
        <v>510.48920000000004</v>
      </c>
      <c r="N31" s="275" t="s">
        <v>912</v>
      </c>
      <c r="O31" s="275" t="s">
        <v>913</v>
      </c>
      <c r="P31" s="287"/>
      <c r="Q31" s="287"/>
      <c r="R31" s="287"/>
    </row>
    <row r="32" spans="1:18" ht="12.75">
      <c r="A32" s="286">
        <v>22</v>
      </c>
      <c r="B32" s="224" t="s">
        <v>852</v>
      </c>
      <c r="C32" s="287">
        <v>71261</v>
      </c>
      <c r="D32" s="287">
        <v>2291</v>
      </c>
      <c r="E32" s="287">
        <v>0</v>
      </c>
      <c r="F32" s="287">
        <v>3718</v>
      </c>
      <c r="G32" s="287">
        <f t="shared" si="0"/>
        <v>77270</v>
      </c>
      <c r="H32" s="463">
        <v>254</v>
      </c>
      <c r="I32" s="464">
        <f t="shared" si="1"/>
        <v>1962.6580000000001</v>
      </c>
      <c r="J32" s="464">
        <f t="shared" si="2"/>
        <v>1962.6580000000001</v>
      </c>
      <c r="K32" s="287"/>
      <c r="L32" s="287"/>
      <c r="M32" s="464">
        <f t="shared" si="3"/>
        <v>392.5316</v>
      </c>
      <c r="N32" s="275" t="s">
        <v>912</v>
      </c>
      <c r="O32" s="275" t="s">
        <v>913</v>
      </c>
      <c r="P32" s="287"/>
      <c r="Q32" s="287"/>
      <c r="R32" s="287"/>
    </row>
    <row r="33" spans="1:18" ht="12.75">
      <c r="A33" s="286">
        <v>23</v>
      </c>
      <c r="B33" s="224" t="s">
        <v>853</v>
      </c>
      <c r="C33" s="287">
        <v>104924</v>
      </c>
      <c r="D33" s="287">
        <v>1550</v>
      </c>
      <c r="E33" s="287">
        <v>0</v>
      </c>
      <c r="F33" s="287">
        <v>6124</v>
      </c>
      <c r="G33" s="287">
        <f t="shared" si="0"/>
        <v>112598</v>
      </c>
      <c r="H33" s="463">
        <v>254</v>
      </c>
      <c r="I33" s="464">
        <f t="shared" si="1"/>
        <v>2859.9892</v>
      </c>
      <c r="J33" s="464">
        <f t="shared" si="2"/>
        <v>2859.9892</v>
      </c>
      <c r="K33" s="287"/>
      <c r="L33" s="287"/>
      <c r="M33" s="464">
        <f t="shared" si="3"/>
        <v>571.99784</v>
      </c>
      <c r="N33" s="275" t="s">
        <v>912</v>
      </c>
      <c r="O33" s="275" t="s">
        <v>913</v>
      </c>
      <c r="P33" s="287"/>
      <c r="Q33" s="287"/>
      <c r="R33" s="287"/>
    </row>
    <row r="34" spans="1:18" ht="12.75">
      <c r="A34" s="286">
        <v>24</v>
      </c>
      <c r="B34" s="224" t="s">
        <v>854</v>
      </c>
      <c r="C34" s="287">
        <v>103042</v>
      </c>
      <c r="D34" s="287">
        <v>1685</v>
      </c>
      <c r="E34" s="287">
        <f>SUM(E24:E33)</f>
        <v>0</v>
      </c>
      <c r="F34" s="287">
        <v>94</v>
      </c>
      <c r="G34" s="287">
        <f t="shared" si="0"/>
        <v>104821</v>
      </c>
      <c r="H34" s="463">
        <v>254</v>
      </c>
      <c r="I34" s="464">
        <f t="shared" si="1"/>
        <v>2662.4534000000003</v>
      </c>
      <c r="J34" s="464">
        <f t="shared" si="2"/>
        <v>2662.4534000000003</v>
      </c>
      <c r="K34" s="287"/>
      <c r="L34" s="287"/>
      <c r="M34" s="464">
        <f t="shared" si="3"/>
        <v>532.49068</v>
      </c>
      <c r="N34" s="275" t="s">
        <v>912</v>
      </c>
      <c r="O34" s="275" t="s">
        <v>913</v>
      </c>
      <c r="P34" s="287"/>
      <c r="Q34" s="287"/>
      <c r="R34" s="287"/>
    </row>
    <row r="35" spans="1:18" s="238" customFormat="1" ht="12.75">
      <c r="A35" s="828" t="s">
        <v>860</v>
      </c>
      <c r="B35" s="923"/>
      <c r="C35" s="291">
        <f>SUM(C11:C34)</f>
        <v>2250507</v>
      </c>
      <c r="D35" s="291">
        <f>SUM(D11:D34)</f>
        <v>130858</v>
      </c>
      <c r="E35" s="291">
        <f>SUM(E11:E34)</f>
        <v>0</v>
      </c>
      <c r="F35" s="291">
        <f>SUM(F11:F34)</f>
        <v>16700</v>
      </c>
      <c r="G35" s="291">
        <f>SUM(G11:G34)</f>
        <v>2398065</v>
      </c>
      <c r="H35" s="292"/>
      <c r="I35" s="293">
        <f>SUM(I11:I34)</f>
        <v>60910.85100000001</v>
      </c>
      <c r="J35" s="293">
        <f>SUM(J11:J34)</f>
        <v>60910.85100000001</v>
      </c>
      <c r="K35" s="291"/>
      <c r="L35" s="291"/>
      <c r="M35" s="293">
        <f>SUM(M11:M34)</f>
        <v>12182.170200000002</v>
      </c>
      <c r="N35" s="275" t="s">
        <v>912</v>
      </c>
      <c r="O35" s="275" t="s">
        <v>913</v>
      </c>
      <c r="P35" s="291"/>
      <c r="Q35" s="291"/>
      <c r="R35" s="291"/>
    </row>
    <row r="36" spans="1:8" ht="12.75">
      <c r="A36" s="288"/>
      <c r="B36" s="288"/>
      <c r="C36" s="288"/>
      <c r="D36" s="288"/>
      <c r="E36" s="288"/>
      <c r="F36" s="288"/>
      <c r="G36" s="288"/>
      <c r="H36" s="288"/>
    </row>
    <row r="37" spans="1:8" ht="12.75">
      <c r="A37" s="289" t="s">
        <v>6</v>
      </c>
      <c r="B37" s="290"/>
      <c r="C37" s="290"/>
      <c r="D37" s="288"/>
      <c r="E37" s="288"/>
      <c r="F37" s="288"/>
      <c r="G37" s="288"/>
      <c r="H37" s="288"/>
    </row>
    <row r="38" spans="1:3" ht="12.75">
      <c r="A38" s="238" t="s">
        <v>7</v>
      </c>
      <c r="B38" s="238"/>
      <c r="C38" s="238"/>
    </row>
    <row r="39" spans="1:3" ht="12.75">
      <c r="A39" s="238" t="s">
        <v>8</v>
      </c>
      <c r="B39" s="238"/>
      <c r="C39" s="238"/>
    </row>
    <row r="40" spans="1:3" ht="12.75">
      <c r="A40" s="238"/>
      <c r="B40" s="238"/>
      <c r="C40" s="238"/>
    </row>
    <row r="41" spans="1:3" ht="12.75">
      <c r="A41" s="238"/>
      <c r="B41" s="238"/>
      <c r="C41" s="238"/>
    </row>
    <row r="42" spans="1:18" ht="12.75">
      <c r="A42" s="238"/>
      <c r="H42" s="238"/>
      <c r="J42" s="238"/>
      <c r="K42" s="238"/>
      <c r="L42" s="238"/>
      <c r="M42" s="238"/>
      <c r="N42" s="238"/>
      <c r="O42" s="238"/>
      <c r="P42" s="238"/>
      <c r="Q42" s="238"/>
      <c r="R42" s="238"/>
    </row>
    <row r="43" spans="1:18" ht="12.75" customHeight="1">
      <c r="A43" s="559" t="s">
        <v>989</v>
      </c>
      <c r="B43" s="559"/>
      <c r="C43" s="559"/>
      <c r="D43" s="12"/>
      <c r="E43" s="12"/>
      <c r="F43" s="12"/>
      <c r="G43" s="359"/>
      <c r="H43" s="559" t="s">
        <v>990</v>
      </c>
      <c r="I43" s="559"/>
      <c r="J43" s="12"/>
      <c r="K43" s="68"/>
      <c r="L43" s="68"/>
      <c r="M43" s="68"/>
      <c r="N43" s="559" t="s">
        <v>996</v>
      </c>
      <c r="O43" s="559"/>
      <c r="P43" s="559"/>
      <c r="Q43" s="559"/>
      <c r="R43" s="240"/>
    </row>
    <row r="44" spans="1:18" ht="12.75" customHeight="1">
      <c r="A44" s="559" t="s">
        <v>991</v>
      </c>
      <c r="B44" s="559"/>
      <c r="C44" s="559"/>
      <c r="D44" s="12"/>
      <c r="E44" s="12"/>
      <c r="F44" s="12"/>
      <c r="G44" s="359"/>
      <c r="H44" s="559" t="s">
        <v>992</v>
      </c>
      <c r="I44" s="559"/>
      <c r="J44" s="12"/>
      <c r="K44" s="68"/>
      <c r="L44" s="68"/>
      <c r="M44" s="68"/>
      <c r="N44" s="559" t="s">
        <v>993</v>
      </c>
      <c r="O44" s="559"/>
      <c r="P44" s="559"/>
      <c r="Q44" s="559"/>
      <c r="R44" s="240"/>
    </row>
    <row r="45" spans="1:18" ht="12.75" customHeight="1">
      <c r="A45" s="559" t="s">
        <v>994</v>
      </c>
      <c r="B45" s="559"/>
      <c r="C45" s="559"/>
      <c r="D45" s="12"/>
      <c r="E45" s="12"/>
      <c r="F45" s="12"/>
      <c r="G45" s="359"/>
      <c r="H45" s="559" t="s">
        <v>995</v>
      </c>
      <c r="I45" s="559"/>
      <c r="J45" s="12"/>
      <c r="K45" s="11"/>
      <c r="L45" s="11"/>
      <c r="M45" s="11"/>
      <c r="N45" s="559" t="s">
        <v>995</v>
      </c>
      <c r="O45" s="559"/>
      <c r="P45" s="559"/>
      <c r="Q45" s="559"/>
      <c r="R45" s="238"/>
    </row>
    <row r="47" spans="1:18" ht="12.75">
      <c r="A47" s="924"/>
      <c r="B47" s="924"/>
      <c r="C47" s="924"/>
      <c r="D47" s="924"/>
      <c r="E47" s="924"/>
      <c r="F47" s="924"/>
      <c r="G47" s="924"/>
      <c r="H47" s="924"/>
      <c r="I47" s="924"/>
      <c r="J47" s="924"/>
      <c r="K47" s="924"/>
      <c r="L47" s="924"/>
      <c r="M47" s="924"/>
      <c r="N47" s="924"/>
      <c r="O47" s="924"/>
      <c r="P47" s="924"/>
      <c r="Q47" s="924"/>
      <c r="R47" s="924"/>
    </row>
  </sheetData>
  <sheetProtection/>
  <mergeCells count="25">
    <mergeCell ref="I8:L8"/>
    <mergeCell ref="M8:R8"/>
    <mergeCell ref="A4:R5"/>
    <mergeCell ref="A2:R2"/>
    <mergeCell ref="A3:R3"/>
    <mergeCell ref="G1:I1"/>
    <mergeCell ref="A6:R6"/>
    <mergeCell ref="Q1:R1"/>
    <mergeCell ref="A35:B35"/>
    <mergeCell ref="A47:R47"/>
    <mergeCell ref="L7:R7"/>
    <mergeCell ref="A8:A9"/>
    <mergeCell ref="B8:B9"/>
    <mergeCell ref="C8:G8"/>
    <mergeCell ref="A7:B7"/>
    <mergeCell ref="H8:H9"/>
    <mergeCell ref="A43:C43"/>
    <mergeCell ref="H43:I43"/>
    <mergeCell ref="A44:C44"/>
    <mergeCell ref="H44:I44"/>
    <mergeCell ref="A45:C45"/>
    <mergeCell ref="H45:I45"/>
    <mergeCell ref="N43:Q43"/>
    <mergeCell ref="N44:Q44"/>
    <mergeCell ref="N45:Q4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9" r:id="rId1"/>
</worksheet>
</file>

<file path=xl/worksheets/sheet58.xml><?xml version="1.0" encoding="utf-8"?>
<worksheet xmlns="http://schemas.openxmlformats.org/spreadsheetml/2006/main" xmlns:r="http://schemas.openxmlformats.org/officeDocument/2006/relationships">
  <sheetPr>
    <tabColor rgb="FF92D050"/>
    <pageSetUpPr fitToPage="1"/>
  </sheetPr>
  <dimension ref="A1:R46"/>
  <sheetViews>
    <sheetView view="pageBreakPreview" zoomScale="85" zoomScaleNormal="70" zoomScaleSheetLayoutView="85" zoomScalePageLayoutView="0" workbookViewId="0" topLeftCell="A1">
      <selection activeCell="G10" sqref="G10:G33"/>
    </sheetView>
  </sheetViews>
  <sheetFormatPr defaultColWidth="9.140625" defaultRowHeight="12.75"/>
  <cols>
    <col min="1" max="1" width="5.57421875" style="239" customWidth="1"/>
    <col min="2" max="2" width="17.8515625" style="239" customWidth="1"/>
    <col min="3" max="3" width="10.28125" style="239" customWidth="1"/>
    <col min="4" max="4" width="8.421875" style="239" customWidth="1"/>
    <col min="5" max="6" width="9.8515625" style="239" customWidth="1"/>
    <col min="7" max="7" width="10.8515625" style="239" customWidth="1"/>
    <col min="8" max="8" width="13.7109375" style="239" customWidth="1"/>
    <col min="9" max="10" width="8.57421875" style="239" bestFit="1" customWidth="1"/>
    <col min="11" max="11" width="8.00390625" style="239" customWidth="1"/>
    <col min="12" max="12" width="8.140625" style="239" customWidth="1"/>
    <col min="13" max="13" width="9.57421875" style="239" bestFit="1" customWidth="1"/>
    <col min="14" max="14" width="8.140625" style="239" customWidth="1"/>
    <col min="15" max="15" width="8.421875" style="239" customWidth="1"/>
    <col min="16" max="16" width="8.140625" style="239" customWidth="1"/>
    <col min="17" max="17" width="8.8515625" style="239" customWidth="1"/>
    <col min="18" max="18" width="8.140625" style="239" customWidth="1"/>
    <col min="19" max="16384" width="9.140625" style="239" customWidth="1"/>
  </cols>
  <sheetData>
    <row r="1" spans="7:18" ht="12.75" customHeight="1">
      <c r="G1" s="932"/>
      <c r="H1" s="932"/>
      <c r="I1" s="932"/>
      <c r="Q1" s="933" t="s">
        <v>544</v>
      </c>
      <c r="R1" s="933"/>
    </row>
    <row r="2" spans="1:18" ht="15.75">
      <c r="A2" s="930" t="s">
        <v>0</v>
      </c>
      <c r="B2" s="930"/>
      <c r="C2" s="930"/>
      <c r="D2" s="930"/>
      <c r="E2" s="930"/>
      <c r="F2" s="930"/>
      <c r="G2" s="930"/>
      <c r="H2" s="930"/>
      <c r="I2" s="930"/>
      <c r="J2" s="930"/>
      <c r="K2" s="930"/>
      <c r="L2" s="930"/>
      <c r="M2" s="930"/>
      <c r="N2" s="930"/>
      <c r="O2" s="930"/>
      <c r="P2" s="930"/>
      <c r="Q2" s="930"/>
      <c r="R2" s="930"/>
    </row>
    <row r="3" spans="1:18" ht="18">
      <c r="A3" s="931" t="s">
        <v>645</v>
      </c>
      <c r="B3" s="931"/>
      <c r="C3" s="931"/>
      <c r="D3" s="931"/>
      <c r="E3" s="931"/>
      <c r="F3" s="931"/>
      <c r="G3" s="931"/>
      <c r="H3" s="931"/>
      <c r="I3" s="931"/>
      <c r="J3" s="931"/>
      <c r="K3" s="931"/>
      <c r="L3" s="931"/>
      <c r="M3" s="931"/>
      <c r="N3" s="931"/>
      <c r="O3" s="931"/>
      <c r="P3" s="931"/>
      <c r="Q3" s="931"/>
      <c r="R3" s="931"/>
    </row>
    <row r="4" spans="1:18" ht="15">
      <c r="A4" s="929" t="s">
        <v>734</v>
      </c>
      <c r="B4" s="929"/>
      <c r="C4" s="929"/>
      <c r="D4" s="929"/>
      <c r="E4" s="929"/>
      <c r="F4" s="929"/>
      <c r="G4" s="929"/>
      <c r="H4" s="929"/>
      <c r="I4" s="929"/>
      <c r="J4" s="929"/>
      <c r="K4" s="929"/>
      <c r="L4" s="929"/>
      <c r="M4" s="929"/>
      <c r="N4" s="929"/>
      <c r="O4" s="929"/>
      <c r="P4" s="929"/>
      <c r="Q4" s="929"/>
      <c r="R4" s="929"/>
    </row>
    <row r="5" spans="1:18" ht="12.75">
      <c r="A5" s="924"/>
      <c r="B5" s="924"/>
      <c r="C5" s="924"/>
      <c r="D5" s="924"/>
      <c r="E5" s="924"/>
      <c r="F5" s="924"/>
      <c r="G5" s="924"/>
      <c r="H5" s="924"/>
      <c r="I5" s="924"/>
      <c r="J5" s="924"/>
      <c r="K5" s="924"/>
      <c r="L5" s="924"/>
      <c r="M5" s="924"/>
      <c r="N5" s="924"/>
      <c r="O5" s="924"/>
      <c r="P5" s="924"/>
      <c r="Q5" s="924"/>
      <c r="R5" s="924"/>
    </row>
    <row r="6" spans="1:18" ht="12.75">
      <c r="A6" s="926" t="s">
        <v>157</v>
      </c>
      <c r="B6" s="926"/>
      <c r="H6" s="285"/>
      <c r="L6" s="925"/>
      <c r="M6" s="925"/>
      <c r="N6" s="925"/>
      <c r="O6" s="925"/>
      <c r="P6" s="925"/>
      <c r="Q6" s="925"/>
      <c r="R6" s="925"/>
    </row>
    <row r="7" spans="1:18" ht="16.5" customHeight="1">
      <c r="A7" s="738" t="s">
        <v>1</v>
      </c>
      <c r="B7" s="738" t="s">
        <v>2</v>
      </c>
      <c r="C7" s="740" t="s">
        <v>494</v>
      </c>
      <c r="D7" s="741"/>
      <c r="E7" s="741"/>
      <c r="F7" s="741"/>
      <c r="G7" s="742"/>
      <c r="H7" s="927" t="s">
        <v>78</v>
      </c>
      <c r="I7" s="740" t="s">
        <v>79</v>
      </c>
      <c r="J7" s="741"/>
      <c r="K7" s="741"/>
      <c r="L7" s="742"/>
      <c r="M7" s="740" t="s">
        <v>726</v>
      </c>
      <c r="N7" s="741"/>
      <c r="O7" s="741"/>
      <c r="P7" s="741"/>
      <c r="Q7" s="741"/>
      <c r="R7" s="741"/>
    </row>
    <row r="8" spans="1:18" ht="45" customHeight="1">
      <c r="A8" s="738"/>
      <c r="B8" s="738"/>
      <c r="C8" s="22" t="s">
        <v>4</v>
      </c>
      <c r="D8" s="22" t="s">
        <v>5</v>
      </c>
      <c r="E8" s="22" t="s">
        <v>358</v>
      </c>
      <c r="F8" s="283" t="s">
        <v>93</v>
      </c>
      <c r="G8" s="283" t="s">
        <v>228</v>
      </c>
      <c r="H8" s="928"/>
      <c r="I8" s="22" t="s">
        <v>177</v>
      </c>
      <c r="J8" s="22" t="s">
        <v>110</v>
      </c>
      <c r="K8" s="22" t="s">
        <v>111</v>
      </c>
      <c r="L8" s="22" t="s">
        <v>442</v>
      </c>
      <c r="M8" s="22" t="s">
        <v>13</v>
      </c>
      <c r="N8" s="22" t="s">
        <v>727</v>
      </c>
      <c r="O8" s="22" t="s">
        <v>728</v>
      </c>
      <c r="P8" s="22" t="s">
        <v>729</v>
      </c>
      <c r="Q8" s="22" t="s">
        <v>730</v>
      </c>
      <c r="R8" s="22" t="s">
        <v>731</v>
      </c>
    </row>
    <row r="9" spans="1:18" s="238" customFormat="1" ht="12.75">
      <c r="A9" s="22">
        <v>1</v>
      </c>
      <c r="B9" s="22">
        <v>2</v>
      </c>
      <c r="C9" s="22">
        <v>3</v>
      </c>
      <c r="D9" s="22">
        <v>4</v>
      </c>
      <c r="E9" s="22">
        <v>5</v>
      </c>
      <c r="F9" s="22">
        <v>6</v>
      </c>
      <c r="G9" s="22">
        <v>7</v>
      </c>
      <c r="H9" s="22">
        <v>8</v>
      </c>
      <c r="I9" s="22">
        <v>9</v>
      </c>
      <c r="J9" s="22">
        <v>10</v>
      </c>
      <c r="K9" s="22">
        <v>11</v>
      </c>
      <c r="L9" s="22">
        <v>12</v>
      </c>
      <c r="M9" s="22">
        <v>13</v>
      </c>
      <c r="N9" s="22">
        <v>14</v>
      </c>
      <c r="O9" s="22">
        <v>15</v>
      </c>
      <c r="P9" s="22">
        <v>16</v>
      </c>
      <c r="Q9" s="22">
        <v>17</v>
      </c>
      <c r="R9" s="22">
        <v>18</v>
      </c>
    </row>
    <row r="10" spans="1:18" ht="12.75">
      <c r="A10" s="286">
        <v>1</v>
      </c>
      <c r="B10" s="224" t="s">
        <v>831</v>
      </c>
      <c r="C10" s="287">
        <v>48955</v>
      </c>
      <c r="D10" s="287">
        <v>13849</v>
      </c>
      <c r="E10" s="287">
        <v>0</v>
      </c>
      <c r="F10" s="287">
        <v>62</v>
      </c>
      <c r="G10" s="287">
        <f aca="true" t="shared" si="0" ref="G10:G33">SUM(C10:F10)</f>
        <v>62866</v>
      </c>
      <c r="H10" s="463">
        <v>254</v>
      </c>
      <c r="I10" s="464">
        <f>J10</f>
        <v>2395.1946</v>
      </c>
      <c r="J10" s="464">
        <f>G10*H10*0.00015</f>
        <v>2395.1946</v>
      </c>
      <c r="K10" s="287"/>
      <c r="L10" s="287"/>
      <c r="M10" s="464">
        <f>G10*H10*0.00003</f>
        <v>479.03892</v>
      </c>
      <c r="N10" s="275" t="s">
        <v>912</v>
      </c>
      <c r="O10" s="275" t="s">
        <v>913</v>
      </c>
      <c r="P10" s="287"/>
      <c r="Q10" s="287"/>
      <c r="R10" s="287"/>
    </row>
    <row r="11" spans="1:18" ht="12.75">
      <c r="A11" s="286">
        <v>2</v>
      </c>
      <c r="B11" s="224" t="s">
        <v>832</v>
      </c>
      <c r="C11" s="287">
        <v>12887</v>
      </c>
      <c r="D11" s="287">
        <v>6518</v>
      </c>
      <c r="E11" s="287">
        <v>0</v>
      </c>
      <c r="F11" s="287">
        <v>0</v>
      </c>
      <c r="G11" s="287">
        <f t="shared" si="0"/>
        <v>19405</v>
      </c>
      <c r="H11" s="463">
        <v>254</v>
      </c>
      <c r="I11" s="464">
        <f aca="true" t="shared" si="1" ref="I11:I34">J11</f>
        <v>739.3304999999999</v>
      </c>
      <c r="J11" s="464">
        <f aca="true" t="shared" si="2" ref="J11:J33">G11*H11*0.00015</f>
        <v>739.3304999999999</v>
      </c>
      <c r="K11" s="287"/>
      <c r="L11" s="287"/>
      <c r="M11" s="464">
        <f aca="true" t="shared" si="3" ref="M11:M33">G11*H11*0.00003</f>
        <v>147.86610000000002</v>
      </c>
      <c r="N11" s="275" t="s">
        <v>912</v>
      </c>
      <c r="O11" s="275" t="s">
        <v>913</v>
      </c>
      <c r="P11" s="287"/>
      <c r="Q11" s="287"/>
      <c r="R11" s="287"/>
    </row>
    <row r="12" spans="1:18" ht="12.75">
      <c r="A12" s="286">
        <v>3</v>
      </c>
      <c r="B12" s="224" t="s">
        <v>833</v>
      </c>
      <c r="C12" s="287">
        <v>14807</v>
      </c>
      <c r="D12" s="287">
        <v>1119</v>
      </c>
      <c r="E12" s="287">
        <v>0</v>
      </c>
      <c r="F12" s="287">
        <v>0</v>
      </c>
      <c r="G12" s="287">
        <f t="shared" si="0"/>
        <v>15926</v>
      </c>
      <c r="H12" s="463">
        <v>254</v>
      </c>
      <c r="I12" s="464">
        <f t="shared" si="1"/>
        <v>606.7805999999999</v>
      </c>
      <c r="J12" s="464">
        <f t="shared" si="2"/>
        <v>606.7805999999999</v>
      </c>
      <c r="K12" s="287"/>
      <c r="L12" s="287"/>
      <c r="M12" s="464">
        <f t="shared" si="3"/>
        <v>121.35612</v>
      </c>
      <c r="N12" s="275" t="s">
        <v>912</v>
      </c>
      <c r="O12" s="275" t="s">
        <v>913</v>
      </c>
      <c r="P12" s="287"/>
      <c r="Q12" s="287"/>
      <c r="R12" s="287"/>
    </row>
    <row r="13" spans="1:18" ht="12.75">
      <c r="A13" s="286">
        <v>4</v>
      </c>
      <c r="B13" s="224" t="s">
        <v>834</v>
      </c>
      <c r="C13" s="287">
        <v>32955</v>
      </c>
      <c r="D13" s="287">
        <v>8478</v>
      </c>
      <c r="E13" s="287">
        <v>0</v>
      </c>
      <c r="F13" s="287">
        <v>40</v>
      </c>
      <c r="G13" s="287">
        <f t="shared" si="0"/>
        <v>41473</v>
      </c>
      <c r="H13" s="463">
        <v>254</v>
      </c>
      <c r="I13" s="464">
        <f t="shared" si="1"/>
        <v>1580.1212999999998</v>
      </c>
      <c r="J13" s="464">
        <f t="shared" si="2"/>
        <v>1580.1212999999998</v>
      </c>
      <c r="K13" s="287"/>
      <c r="L13" s="287"/>
      <c r="M13" s="464">
        <f t="shared" si="3"/>
        <v>316.02426</v>
      </c>
      <c r="N13" s="275" t="s">
        <v>912</v>
      </c>
      <c r="O13" s="275" t="s">
        <v>913</v>
      </c>
      <c r="P13" s="287"/>
      <c r="Q13" s="287"/>
      <c r="R13" s="287"/>
    </row>
    <row r="14" spans="1:18" ht="12.75">
      <c r="A14" s="286">
        <v>5</v>
      </c>
      <c r="B14" s="224" t="s">
        <v>835</v>
      </c>
      <c r="C14" s="287">
        <v>12745</v>
      </c>
      <c r="D14" s="287">
        <v>9816</v>
      </c>
      <c r="E14" s="287">
        <v>0</v>
      </c>
      <c r="F14" s="287">
        <v>0</v>
      </c>
      <c r="G14" s="287">
        <f t="shared" si="0"/>
        <v>22561</v>
      </c>
      <c r="H14" s="463">
        <v>254</v>
      </c>
      <c r="I14" s="464">
        <f t="shared" si="1"/>
        <v>859.5740999999999</v>
      </c>
      <c r="J14" s="464">
        <f t="shared" si="2"/>
        <v>859.5740999999999</v>
      </c>
      <c r="K14" s="287"/>
      <c r="L14" s="287"/>
      <c r="M14" s="464">
        <f t="shared" si="3"/>
        <v>171.91482</v>
      </c>
      <c r="N14" s="275" t="s">
        <v>912</v>
      </c>
      <c r="O14" s="275" t="s">
        <v>913</v>
      </c>
      <c r="P14" s="287"/>
      <c r="Q14" s="287"/>
      <c r="R14" s="287"/>
    </row>
    <row r="15" spans="1:18" ht="12.75">
      <c r="A15" s="286">
        <v>6</v>
      </c>
      <c r="B15" s="224" t="s">
        <v>836</v>
      </c>
      <c r="C15" s="287">
        <v>38502</v>
      </c>
      <c r="D15" s="287">
        <v>6617</v>
      </c>
      <c r="E15" s="287">
        <v>0</v>
      </c>
      <c r="F15" s="287">
        <v>20</v>
      </c>
      <c r="G15" s="287">
        <f>SUM(C15:F15)</f>
        <v>45139</v>
      </c>
      <c r="H15" s="463">
        <v>254</v>
      </c>
      <c r="I15" s="464">
        <f t="shared" si="1"/>
        <v>1719.7958999999998</v>
      </c>
      <c r="J15" s="464">
        <f t="shared" si="2"/>
        <v>1719.7958999999998</v>
      </c>
      <c r="K15" s="287"/>
      <c r="L15" s="287"/>
      <c r="M15" s="464">
        <f t="shared" si="3"/>
        <v>343.95918</v>
      </c>
      <c r="N15" s="275" t="s">
        <v>912</v>
      </c>
      <c r="O15" s="275" t="s">
        <v>913</v>
      </c>
      <c r="P15" s="287"/>
      <c r="Q15" s="287"/>
      <c r="R15" s="287"/>
    </row>
    <row r="16" spans="1:18" ht="12.75">
      <c r="A16" s="286">
        <v>7</v>
      </c>
      <c r="B16" s="224" t="s">
        <v>837</v>
      </c>
      <c r="C16" s="287">
        <v>42623</v>
      </c>
      <c r="D16" s="287">
        <v>0</v>
      </c>
      <c r="E16" s="287">
        <v>0</v>
      </c>
      <c r="F16" s="287">
        <v>0</v>
      </c>
      <c r="G16" s="287">
        <f t="shared" si="0"/>
        <v>42623</v>
      </c>
      <c r="H16" s="463">
        <v>254</v>
      </c>
      <c r="I16" s="464">
        <f t="shared" si="1"/>
        <v>1623.9362999999998</v>
      </c>
      <c r="J16" s="464">
        <f t="shared" si="2"/>
        <v>1623.9362999999998</v>
      </c>
      <c r="K16" s="287"/>
      <c r="L16" s="287"/>
      <c r="M16" s="464">
        <f t="shared" si="3"/>
        <v>324.78726</v>
      </c>
      <c r="N16" s="275" t="s">
        <v>912</v>
      </c>
      <c r="O16" s="275" t="s">
        <v>913</v>
      </c>
      <c r="P16" s="287"/>
      <c r="Q16" s="287"/>
      <c r="R16" s="287"/>
    </row>
    <row r="17" spans="1:18" ht="12.75">
      <c r="A17" s="286">
        <v>8</v>
      </c>
      <c r="B17" s="224" t="s">
        <v>838</v>
      </c>
      <c r="C17" s="287">
        <v>48602</v>
      </c>
      <c r="D17" s="287">
        <v>4686</v>
      </c>
      <c r="E17" s="287">
        <v>0</v>
      </c>
      <c r="F17" s="287">
        <v>48</v>
      </c>
      <c r="G17" s="287">
        <f t="shared" si="0"/>
        <v>53336</v>
      </c>
      <c r="H17" s="463">
        <v>254</v>
      </c>
      <c r="I17" s="464">
        <f t="shared" si="1"/>
        <v>2032.1015999999997</v>
      </c>
      <c r="J17" s="464">
        <f t="shared" si="2"/>
        <v>2032.1015999999997</v>
      </c>
      <c r="K17" s="287"/>
      <c r="L17" s="287"/>
      <c r="M17" s="464">
        <f t="shared" si="3"/>
        <v>406.42032</v>
      </c>
      <c r="N17" s="275" t="s">
        <v>912</v>
      </c>
      <c r="O17" s="275" t="s">
        <v>913</v>
      </c>
      <c r="P17" s="287"/>
      <c r="Q17" s="287"/>
      <c r="R17" s="287"/>
    </row>
    <row r="18" spans="1:18" ht="12.75">
      <c r="A18" s="286">
        <v>9</v>
      </c>
      <c r="B18" s="224" t="s">
        <v>839</v>
      </c>
      <c r="C18" s="287">
        <v>87916</v>
      </c>
      <c r="D18" s="287">
        <v>1115</v>
      </c>
      <c r="E18" s="287">
        <v>0</v>
      </c>
      <c r="F18" s="287">
        <v>551</v>
      </c>
      <c r="G18" s="287">
        <f t="shared" si="0"/>
        <v>89582</v>
      </c>
      <c r="H18" s="463">
        <v>254</v>
      </c>
      <c r="I18" s="464">
        <f t="shared" si="1"/>
        <v>3413.0741999999996</v>
      </c>
      <c r="J18" s="464">
        <f t="shared" si="2"/>
        <v>3413.0741999999996</v>
      </c>
      <c r="K18" s="287"/>
      <c r="L18" s="287"/>
      <c r="M18" s="464">
        <f t="shared" si="3"/>
        <v>682.6148400000001</v>
      </c>
      <c r="N18" s="275" t="s">
        <v>912</v>
      </c>
      <c r="O18" s="275" t="s">
        <v>913</v>
      </c>
      <c r="P18" s="287"/>
      <c r="Q18" s="287"/>
      <c r="R18" s="287"/>
    </row>
    <row r="19" spans="1:18" ht="12.75">
      <c r="A19" s="286">
        <v>10</v>
      </c>
      <c r="B19" s="224" t="s">
        <v>840</v>
      </c>
      <c r="C19" s="287">
        <f>5710+3335+2802+2337+1143+3619+3211+839+1028</f>
        <v>24024</v>
      </c>
      <c r="D19" s="287">
        <f>355+262+1190</f>
        <v>1807</v>
      </c>
      <c r="E19" s="287">
        <v>0</v>
      </c>
      <c r="F19" s="287">
        <v>0</v>
      </c>
      <c r="G19" s="287">
        <f t="shared" si="0"/>
        <v>25831</v>
      </c>
      <c r="H19" s="463">
        <v>254</v>
      </c>
      <c r="I19" s="464">
        <f t="shared" si="1"/>
        <v>984.1610999999999</v>
      </c>
      <c r="J19" s="464">
        <f t="shared" si="2"/>
        <v>984.1610999999999</v>
      </c>
      <c r="K19" s="287"/>
      <c r="L19" s="287"/>
      <c r="M19" s="464">
        <f t="shared" si="3"/>
        <v>196.83222</v>
      </c>
      <c r="N19" s="275" t="s">
        <v>912</v>
      </c>
      <c r="O19" s="275" t="s">
        <v>913</v>
      </c>
      <c r="P19" s="287"/>
      <c r="Q19" s="287"/>
      <c r="R19" s="287"/>
    </row>
    <row r="20" spans="1:18" ht="12.75">
      <c r="A20" s="286">
        <v>11</v>
      </c>
      <c r="B20" s="224" t="s">
        <v>841</v>
      </c>
      <c r="C20" s="287">
        <v>49671</v>
      </c>
      <c r="D20" s="287">
        <v>799</v>
      </c>
      <c r="E20" s="287">
        <v>0</v>
      </c>
      <c r="F20" s="287">
        <v>125</v>
      </c>
      <c r="G20" s="287">
        <f t="shared" si="0"/>
        <v>50595</v>
      </c>
      <c r="H20" s="463">
        <v>254</v>
      </c>
      <c r="I20" s="464">
        <f t="shared" si="1"/>
        <v>1927.6694999999997</v>
      </c>
      <c r="J20" s="464">
        <f t="shared" si="2"/>
        <v>1927.6694999999997</v>
      </c>
      <c r="K20" s="287"/>
      <c r="L20" s="287"/>
      <c r="M20" s="464">
        <f t="shared" si="3"/>
        <v>385.5339</v>
      </c>
      <c r="N20" s="275" t="s">
        <v>912</v>
      </c>
      <c r="O20" s="275" t="s">
        <v>913</v>
      </c>
      <c r="P20" s="287"/>
      <c r="Q20" s="287"/>
      <c r="R20" s="287"/>
    </row>
    <row r="21" spans="1:18" ht="12.75">
      <c r="A21" s="286">
        <v>12</v>
      </c>
      <c r="B21" s="224" t="s">
        <v>842</v>
      </c>
      <c r="C21" s="287">
        <v>50495</v>
      </c>
      <c r="D21" s="287">
        <v>982</v>
      </c>
      <c r="E21" s="287">
        <v>0</v>
      </c>
      <c r="F21" s="287">
        <v>451</v>
      </c>
      <c r="G21" s="287">
        <f t="shared" si="0"/>
        <v>51928</v>
      </c>
      <c r="H21" s="463">
        <v>254</v>
      </c>
      <c r="I21" s="464">
        <f t="shared" si="1"/>
        <v>1978.4568</v>
      </c>
      <c r="J21" s="464">
        <f t="shared" si="2"/>
        <v>1978.4568</v>
      </c>
      <c r="K21" s="287"/>
      <c r="L21" s="287"/>
      <c r="M21" s="464">
        <f t="shared" si="3"/>
        <v>395.69136000000003</v>
      </c>
      <c r="N21" s="275" t="s">
        <v>912</v>
      </c>
      <c r="O21" s="275" t="s">
        <v>913</v>
      </c>
      <c r="P21" s="287"/>
      <c r="Q21" s="287"/>
      <c r="R21" s="287"/>
    </row>
    <row r="22" spans="1:18" ht="12.75">
      <c r="A22" s="286">
        <v>13</v>
      </c>
      <c r="B22" s="224" t="s">
        <v>843</v>
      </c>
      <c r="C22" s="287">
        <v>23924</v>
      </c>
      <c r="D22" s="287">
        <v>344</v>
      </c>
      <c r="E22" s="287">
        <v>0</v>
      </c>
      <c r="F22" s="287">
        <v>219</v>
      </c>
      <c r="G22" s="287">
        <f t="shared" si="0"/>
        <v>24487</v>
      </c>
      <c r="H22" s="463">
        <v>254</v>
      </c>
      <c r="I22" s="464">
        <f t="shared" si="1"/>
        <v>932.9546999999999</v>
      </c>
      <c r="J22" s="464">
        <f t="shared" si="2"/>
        <v>932.9546999999999</v>
      </c>
      <c r="K22" s="287"/>
      <c r="L22" s="287"/>
      <c r="M22" s="464">
        <f t="shared" si="3"/>
        <v>186.59094000000002</v>
      </c>
      <c r="N22" s="275" t="s">
        <v>912</v>
      </c>
      <c r="O22" s="275" t="s">
        <v>913</v>
      </c>
      <c r="P22" s="287"/>
      <c r="Q22" s="287"/>
      <c r="R22" s="287"/>
    </row>
    <row r="23" spans="1:18" ht="12.75">
      <c r="A23" s="286">
        <v>14</v>
      </c>
      <c r="B23" s="224" t="s">
        <v>844</v>
      </c>
      <c r="C23" s="287">
        <v>32581</v>
      </c>
      <c r="D23" s="287">
        <v>271</v>
      </c>
      <c r="E23" s="287">
        <v>0</v>
      </c>
      <c r="F23" s="287">
        <v>304</v>
      </c>
      <c r="G23" s="287">
        <f t="shared" si="0"/>
        <v>33156</v>
      </c>
      <c r="H23" s="463">
        <v>254</v>
      </c>
      <c r="I23" s="464">
        <f t="shared" si="1"/>
        <v>1263.2435999999998</v>
      </c>
      <c r="J23" s="464">
        <f t="shared" si="2"/>
        <v>1263.2435999999998</v>
      </c>
      <c r="K23" s="287"/>
      <c r="L23" s="287"/>
      <c r="M23" s="464">
        <f t="shared" si="3"/>
        <v>252.64872</v>
      </c>
      <c r="N23" s="275" t="s">
        <v>912</v>
      </c>
      <c r="O23" s="275" t="s">
        <v>913</v>
      </c>
      <c r="P23" s="287"/>
      <c r="Q23" s="287"/>
      <c r="R23" s="287"/>
    </row>
    <row r="24" spans="1:18" ht="12.75">
      <c r="A24" s="286">
        <v>15</v>
      </c>
      <c r="B24" s="224" t="s">
        <v>845</v>
      </c>
      <c r="C24" s="287">
        <v>49601</v>
      </c>
      <c r="D24" s="287">
        <v>338</v>
      </c>
      <c r="E24" s="287">
        <v>0</v>
      </c>
      <c r="F24" s="287">
        <v>87</v>
      </c>
      <c r="G24" s="287">
        <f t="shared" si="0"/>
        <v>50026</v>
      </c>
      <c r="H24" s="463">
        <v>254</v>
      </c>
      <c r="I24" s="464">
        <f t="shared" si="1"/>
        <v>1905.9905999999999</v>
      </c>
      <c r="J24" s="464">
        <f t="shared" si="2"/>
        <v>1905.9905999999999</v>
      </c>
      <c r="K24" s="287"/>
      <c r="L24" s="287"/>
      <c r="M24" s="464">
        <f t="shared" si="3"/>
        <v>381.19812</v>
      </c>
      <c r="N24" s="275" t="s">
        <v>912</v>
      </c>
      <c r="O24" s="275" t="s">
        <v>913</v>
      </c>
      <c r="P24" s="287"/>
      <c r="Q24" s="287"/>
      <c r="R24" s="287"/>
    </row>
    <row r="25" spans="1:18" ht="12.75">
      <c r="A25" s="286">
        <v>16</v>
      </c>
      <c r="B25" s="224" t="s">
        <v>846</v>
      </c>
      <c r="C25" s="287">
        <v>68599</v>
      </c>
      <c r="D25" s="287">
        <v>1670</v>
      </c>
      <c r="E25" s="287">
        <v>0</v>
      </c>
      <c r="F25" s="287">
        <v>448</v>
      </c>
      <c r="G25" s="287">
        <f t="shared" si="0"/>
        <v>70717</v>
      </c>
      <c r="H25" s="463">
        <v>254</v>
      </c>
      <c r="I25" s="464">
        <f t="shared" si="1"/>
        <v>2694.3176999999996</v>
      </c>
      <c r="J25" s="464">
        <f t="shared" si="2"/>
        <v>2694.3176999999996</v>
      </c>
      <c r="K25" s="287"/>
      <c r="L25" s="287"/>
      <c r="M25" s="464">
        <f t="shared" si="3"/>
        <v>538.8635400000001</v>
      </c>
      <c r="N25" s="275" t="s">
        <v>912</v>
      </c>
      <c r="O25" s="275" t="s">
        <v>913</v>
      </c>
      <c r="P25" s="287"/>
      <c r="Q25" s="287"/>
      <c r="R25" s="287"/>
    </row>
    <row r="26" spans="1:18" ht="12.75">
      <c r="A26" s="286">
        <v>17</v>
      </c>
      <c r="B26" s="224" t="s">
        <v>847</v>
      </c>
      <c r="C26" s="287">
        <v>51163</v>
      </c>
      <c r="D26" s="287">
        <v>2551</v>
      </c>
      <c r="E26" s="287">
        <v>0</v>
      </c>
      <c r="F26" s="287">
        <v>40</v>
      </c>
      <c r="G26" s="287">
        <f t="shared" si="0"/>
        <v>53754</v>
      </c>
      <c r="H26" s="463">
        <v>254</v>
      </c>
      <c r="I26" s="464">
        <f t="shared" si="1"/>
        <v>2048.0274</v>
      </c>
      <c r="J26" s="464">
        <f t="shared" si="2"/>
        <v>2048.0274</v>
      </c>
      <c r="K26" s="287"/>
      <c r="L26" s="287"/>
      <c r="M26" s="464">
        <f t="shared" si="3"/>
        <v>409.60548</v>
      </c>
      <c r="N26" s="275" t="s">
        <v>912</v>
      </c>
      <c r="O26" s="275" t="s">
        <v>913</v>
      </c>
      <c r="P26" s="287"/>
      <c r="Q26" s="287"/>
      <c r="R26" s="287"/>
    </row>
    <row r="27" spans="1:18" ht="12.75">
      <c r="A27" s="286">
        <v>18</v>
      </c>
      <c r="B27" s="224" t="s">
        <v>848</v>
      </c>
      <c r="C27" s="287">
        <v>49618</v>
      </c>
      <c r="D27" s="287">
        <v>430</v>
      </c>
      <c r="E27" s="287">
        <v>0</v>
      </c>
      <c r="F27" s="287">
        <v>32</v>
      </c>
      <c r="G27" s="287">
        <f t="shared" si="0"/>
        <v>50080</v>
      </c>
      <c r="H27" s="463">
        <v>254</v>
      </c>
      <c r="I27" s="464">
        <f t="shared" si="1"/>
        <v>1908.0479999999998</v>
      </c>
      <c r="J27" s="464">
        <f t="shared" si="2"/>
        <v>1908.0479999999998</v>
      </c>
      <c r="K27" s="287"/>
      <c r="L27" s="287"/>
      <c r="M27" s="464">
        <f t="shared" si="3"/>
        <v>381.6096</v>
      </c>
      <c r="N27" s="275" t="s">
        <v>912</v>
      </c>
      <c r="O27" s="275" t="s">
        <v>913</v>
      </c>
      <c r="P27" s="287"/>
      <c r="Q27" s="287"/>
      <c r="R27" s="287"/>
    </row>
    <row r="28" spans="1:18" ht="12.75">
      <c r="A28" s="286">
        <v>19</v>
      </c>
      <c r="B28" s="224" t="s">
        <v>849</v>
      </c>
      <c r="C28" s="287">
        <v>35886</v>
      </c>
      <c r="D28" s="287">
        <v>849</v>
      </c>
      <c r="E28" s="287">
        <v>0</v>
      </c>
      <c r="F28" s="287">
        <v>61</v>
      </c>
      <c r="G28" s="287">
        <f t="shared" si="0"/>
        <v>36796</v>
      </c>
      <c r="H28" s="463">
        <v>254</v>
      </c>
      <c r="I28" s="464">
        <f t="shared" si="1"/>
        <v>1401.9276</v>
      </c>
      <c r="J28" s="464">
        <f t="shared" si="2"/>
        <v>1401.9276</v>
      </c>
      <c r="K28" s="287"/>
      <c r="L28" s="287"/>
      <c r="M28" s="464">
        <f t="shared" si="3"/>
        <v>280.38552</v>
      </c>
      <c r="N28" s="275" t="s">
        <v>912</v>
      </c>
      <c r="O28" s="275" t="s">
        <v>913</v>
      </c>
      <c r="P28" s="287"/>
      <c r="Q28" s="287"/>
      <c r="R28" s="287"/>
    </row>
    <row r="29" spans="1:18" ht="12.75">
      <c r="A29" s="286">
        <v>20</v>
      </c>
      <c r="B29" s="224" t="s">
        <v>850</v>
      </c>
      <c r="C29" s="287">
        <v>25299</v>
      </c>
      <c r="D29" s="287">
        <v>188</v>
      </c>
      <c r="E29" s="287">
        <v>0</v>
      </c>
      <c r="F29" s="287">
        <v>90</v>
      </c>
      <c r="G29" s="287">
        <f t="shared" si="0"/>
        <v>25577</v>
      </c>
      <c r="H29" s="463">
        <v>254</v>
      </c>
      <c r="I29" s="464">
        <f t="shared" si="1"/>
        <v>974.4836999999999</v>
      </c>
      <c r="J29" s="464">
        <f t="shared" si="2"/>
        <v>974.4836999999999</v>
      </c>
      <c r="K29" s="287"/>
      <c r="L29" s="287"/>
      <c r="M29" s="464">
        <f t="shared" si="3"/>
        <v>194.89674</v>
      </c>
      <c r="N29" s="275" t="s">
        <v>912</v>
      </c>
      <c r="O29" s="275" t="s">
        <v>913</v>
      </c>
      <c r="P29" s="287"/>
      <c r="Q29" s="287"/>
      <c r="R29" s="287"/>
    </row>
    <row r="30" spans="1:18" ht="12.75">
      <c r="A30" s="286">
        <v>21</v>
      </c>
      <c r="B30" s="224" t="s">
        <v>851</v>
      </c>
      <c r="C30" s="287">
        <v>27460</v>
      </c>
      <c r="D30" s="287">
        <v>627</v>
      </c>
      <c r="E30" s="287">
        <v>0</v>
      </c>
      <c r="F30" s="287">
        <v>1471</v>
      </c>
      <c r="G30" s="287">
        <f t="shared" si="0"/>
        <v>29558</v>
      </c>
      <c r="H30" s="463">
        <v>254</v>
      </c>
      <c r="I30" s="464">
        <f t="shared" si="1"/>
        <v>1126.1598</v>
      </c>
      <c r="J30" s="464">
        <f t="shared" si="2"/>
        <v>1126.1598</v>
      </c>
      <c r="K30" s="287"/>
      <c r="L30" s="287"/>
      <c r="M30" s="464">
        <f t="shared" si="3"/>
        <v>225.23196000000002</v>
      </c>
      <c r="N30" s="275" t="s">
        <v>912</v>
      </c>
      <c r="O30" s="275" t="s">
        <v>913</v>
      </c>
      <c r="P30" s="287"/>
      <c r="Q30" s="287"/>
      <c r="R30" s="287"/>
    </row>
    <row r="31" spans="1:18" ht="12.75">
      <c r="A31" s="286">
        <v>22</v>
      </c>
      <c r="B31" s="224" t="s">
        <v>852</v>
      </c>
      <c r="C31" s="287">
        <v>21971</v>
      </c>
      <c r="D31" s="287">
        <v>1421</v>
      </c>
      <c r="E31" s="287">
        <v>0</v>
      </c>
      <c r="F31" s="287">
        <v>1855</v>
      </c>
      <c r="G31" s="287">
        <f t="shared" si="0"/>
        <v>25247</v>
      </c>
      <c r="H31" s="463">
        <v>254</v>
      </c>
      <c r="I31" s="464">
        <f t="shared" si="1"/>
        <v>961.9106999999999</v>
      </c>
      <c r="J31" s="464">
        <f t="shared" si="2"/>
        <v>961.9106999999999</v>
      </c>
      <c r="K31" s="287"/>
      <c r="L31" s="287"/>
      <c r="M31" s="464">
        <f t="shared" si="3"/>
        <v>192.38214</v>
      </c>
      <c r="N31" s="275" t="s">
        <v>912</v>
      </c>
      <c r="O31" s="275" t="s">
        <v>913</v>
      </c>
      <c r="P31" s="287"/>
      <c r="Q31" s="287"/>
      <c r="R31" s="287"/>
    </row>
    <row r="32" spans="1:18" ht="12.75">
      <c r="A32" s="286">
        <v>23</v>
      </c>
      <c r="B32" s="224" t="s">
        <v>853</v>
      </c>
      <c r="C32" s="287">
        <v>39093</v>
      </c>
      <c r="D32" s="287">
        <v>811</v>
      </c>
      <c r="E32" s="287">
        <v>0</v>
      </c>
      <c r="F32" s="287">
        <v>2998</v>
      </c>
      <c r="G32" s="287">
        <f t="shared" si="0"/>
        <v>42902</v>
      </c>
      <c r="H32" s="463">
        <v>254</v>
      </c>
      <c r="I32" s="464">
        <f t="shared" si="1"/>
        <v>1634.5661999999998</v>
      </c>
      <c r="J32" s="464">
        <f t="shared" si="2"/>
        <v>1634.5661999999998</v>
      </c>
      <c r="K32" s="287"/>
      <c r="L32" s="287"/>
      <c r="M32" s="464">
        <f t="shared" si="3"/>
        <v>326.91324000000003</v>
      </c>
      <c r="N32" s="275" t="s">
        <v>912</v>
      </c>
      <c r="O32" s="275" t="s">
        <v>913</v>
      </c>
      <c r="P32" s="287"/>
      <c r="Q32" s="287"/>
      <c r="R32" s="287"/>
    </row>
    <row r="33" spans="1:18" ht="12.75">
      <c r="A33" s="286">
        <v>24</v>
      </c>
      <c r="B33" s="224" t="s">
        <v>854</v>
      </c>
      <c r="C33" s="287">
        <v>50356</v>
      </c>
      <c r="D33" s="287">
        <v>831</v>
      </c>
      <c r="E33" s="287">
        <v>0</v>
      </c>
      <c r="F33" s="287">
        <v>48</v>
      </c>
      <c r="G33" s="287">
        <f t="shared" si="0"/>
        <v>51235</v>
      </c>
      <c r="H33" s="463">
        <v>254</v>
      </c>
      <c r="I33" s="464">
        <f t="shared" si="1"/>
        <v>1952.0534999999998</v>
      </c>
      <c r="J33" s="464">
        <f t="shared" si="2"/>
        <v>1952.0534999999998</v>
      </c>
      <c r="K33" s="287"/>
      <c r="L33" s="287"/>
      <c r="M33" s="464">
        <f t="shared" si="3"/>
        <v>390.4107</v>
      </c>
      <c r="N33" s="275" t="s">
        <v>912</v>
      </c>
      <c r="O33" s="275" t="s">
        <v>913</v>
      </c>
      <c r="P33" s="287"/>
      <c r="Q33" s="287"/>
      <c r="R33" s="287"/>
    </row>
    <row r="34" spans="1:18" s="238" customFormat="1" ht="12.75">
      <c r="A34" s="828" t="s">
        <v>860</v>
      </c>
      <c r="B34" s="923"/>
      <c r="C34" s="291">
        <f>SUM(C10:C33)</f>
        <v>939733</v>
      </c>
      <c r="D34" s="291">
        <f>SUM(D10:D33)</f>
        <v>66117</v>
      </c>
      <c r="E34" s="291">
        <f>SUM(E10:E33)</f>
        <v>0</v>
      </c>
      <c r="F34" s="291">
        <f>SUM(F10:F33)</f>
        <v>8950</v>
      </c>
      <c r="G34" s="291">
        <f>SUM(G10:G33)</f>
        <v>1014800</v>
      </c>
      <c r="H34" s="292"/>
      <c r="I34" s="293">
        <f t="shared" si="1"/>
        <v>38663.88</v>
      </c>
      <c r="J34" s="293">
        <f>SUM(J10:J33)</f>
        <v>38663.88</v>
      </c>
      <c r="K34" s="291"/>
      <c r="L34" s="291"/>
      <c r="M34" s="293">
        <f>SUM(M10:M33)</f>
        <v>7732.776000000001</v>
      </c>
      <c r="N34" s="275" t="s">
        <v>912</v>
      </c>
      <c r="O34" s="275" t="s">
        <v>913</v>
      </c>
      <c r="P34" s="291"/>
      <c r="Q34" s="291"/>
      <c r="R34" s="291"/>
    </row>
    <row r="35" spans="1:8" ht="12.75">
      <c r="A35" s="288"/>
      <c r="B35" s="288"/>
      <c r="C35" s="288"/>
      <c r="D35" s="288"/>
      <c r="E35" s="288"/>
      <c r="F35" s="288"/>
      <c r="G35" s="288"/>
      <c r="H35" s="288"/>
    </row>
    <row r="36" spans="1:8" ht="12.75">
      <c r="A36" s="289" t="s">
        <v>6</v>
      </c>
      <c r="B36" s="290"/>
      <c r="C36" s="290"/>
      <c r="D36" s="288"/>
      <c r="E36" s="288"/>
      <c r="F36" s="288"/>
      <c r="G36" s="288"/>
      <c r="H36" s="288"/>
    </row>
    <row r="37" spans="1:3" ht="12.75">
      <c r="A37" s="238" t="s">
        <v>7</v>
      </c>
      <c r="B37" s="238"/>
      <c r="C37" s="238"/>
    </row>
    <row r="38" spans="1:7" ht="12.75">
      <c r="A38" s="238" t="s">
        <v>8</v>
      </c>
      <c r="B38" s="238"/>
      <c r="C38" s="238"/>
      <c r="G38" s="310"/>
    </row>
    <row r="39" spans="1:3" ht="12.75">
      <c r="A39" s="238"/>
      <c r="B39" s="238"/>
      <c r="C39" s="238"/>
    </row>
    <row r="40" spans="1:3" ht="12.75">
      <c r="A40" s="238"/>
      <c r="B40" s="238"/>
      <c r="C40" s="238"/>
    </row>
    <row r="41" spans="1:18" ht="12.75">
      <c r="A41" s="238"/>
      <c r="H41" s="238"/>
      <c r="J41" s="238"/>
      <c r="K41" s="238"/>
      <c r="L41" s="238"/>
      <c r="M41" s="238"/>
      <c r="N41" s="238"/>
      <c r="O41" s="238"/>
      <c r="P41" s="238"/>
      <c r="Q41" s="238"/>
      <c r="R41" s="238"/>
    </row>
    <row r="42" spans="1:18" ht="12.75" customHeight="1">
      <c r="A42" s="559" t="s">
        <v>989</v>
      </c>
      <c r="B42" s="559"/>
      <c r="C42" s="559"/>
      <c r="D42" s="12"/>
      <c r="E42" s="12"/>
      <c r="F42" s="12"/>
      <c r="G42" s="359"/>
      <c r="H42" s="559" t="s">
        <v>990</v>
      </c>
      <c r="I42" s="559"/>
      <c r="J42" s="12"/>
      <c r="K42" s="68"/>
      <c r="L42" s="68"/>
      <c r="M42" s="68"/>
      <c r="N42" s="559" t="s">
        <v>996</v>
      </c>
      <c r="O42" s="559"/>
      <c r="P42" s="559"/>
      <c r="Q42" s="559"/>
      <c r="R42" s="240"/>
    </row>
    <row r="43" spans="1:18" ht="12.75" customHeight="1">
      <c r="A43" s="559" t="s">
        <v>991</v>
      </c>
      <c r="B43" s="559"/>
      <c r="C43" s="559"/>
      <c r="D43" s="12"/>
      <c r="E43" s="12"/>
      <c r="F43" s="12"/>
      <c r="G43" s="359"/>
      <c r="H43" s="559" t="s">
        <v>992</v>
      </c>
      <c r="I43" s="559"/>
      <c r="J43" s="12"/>
      <c r="K43" s="68"/>
      <c r="L43" s="68"/>
      <c r="M43" s="68"/>
      <c r="N43" s="559" t="s">
        <v>993</v>
      </c>
      <c r="O43" s="559"/>
      <c r="P43" s="559"/>
      <c r="Q43" s="559"/>
      <c r="R43" s="240"/>
    </row>
    <row r="44" spans="1:18" ht="12.75">
      <c r="A44" s="559" t="s">
        <v>994</v>
      </c>
      <c r="B44" s="559"/>
      <c r="C44" s="559"/>
      <c r="D44" s="12"/>
      <c r="E44" s="12"/>
      <c r="F44" s="12"/>
      <c r="G44" s="359"/>
      <c r="H44" s="559" t="s">
        <v>995</v>
      </c>
      <c r="I44" s="559"/>
      <c r="J44" s="12"/>
      <c r="K44" s="11"/>
      <c r="L44" s="11"/>
      <c r="M44" s="11"/>
      <c r="N44" s="559" t="s">
        <v>995</v>
      </c>
      <c r="O44" s="559"/>
      <c r="P44" s="559"/>
      <c r="Q44" s="559"/>
      <c r="R44" s="238"/>
    </row>
    <row r="46" spans="1:18" ht="12.75">
      <c r="A46" s="924"/>
      <c r="B46" s="924"/>
      <c r="C46" s="924"/>
      <c r="D46" s="924"/>
      <c r="E46" s="924"/>
      <c r="F46" s="924"/>
      <c r="G46" s="924"/>
      <c r="H46" s="924"/>
      <c r="I46" s="924"/>
      <c r="J46" s="924"/>
      <c r="K46" s="924"/>
      <c r="L46" s="924"/>
      <c r="M46" s="924"/>
      <c r="N46" s="924"/>
      <c r="O46" s="924"/>
      <c r="P46" s="924"/>
      <c r="Q46" s="924"/>
      <c r="R46" s="924"/>
    </row>
  </sheetData>
  <sheetProtection/>
  <mergeCells count="25">
    <mergeCell ref="M7:R7"/>
    <mergeCell ref="G1:I1"/>
    <mergeCell ref="A2:R2"/>
    <mergeCell ref="A3:R3"/>
    <mergeCell ref="A4:R4"/>
    <mergeCell ref="A5:R5"/>
    <mergeCell ref="A6:B6"/>
    <mergeCell ref="L6:R6"/>
    <mergeCell ref="A34:B34"/>
    <mergeCell ref="A46:R46"/>
    <mergeCell ref="Q1:R1"/>
    <mergeCell ref="A7:A8"/>
    <mergeCell ref="B7:B8"/>
    <mergeCell ref="C7:G7"/>
    <mergeCell ref="H7:H8"/>
    <mergeCell ref="I7:L7"/>
    <mergeCell ref="A42:C42"/>
    <mergeCell ref="H42:I42"/>
    <mergeCell ref="N42:Q42"/>
    <mergeCell ref="A43:C43"/>
    <mergeCell ref="H43:I43"/>
    <mergeCell ref="N43:Q43"/>
    <mergeCell ref="A44:C44"/>
    <mergeCell ref="H44:I44"/>
    <mergeCell ref="N44:Q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8" r:id="rId1"/>
</worksheet>
</file>

<file path=xl/worksheets/sheet59.xml><?xml version="1.0" encoding="utf-8"?>
<worksheet xmlns="http://schemas.openxmlformats.org/spreadsheetml/2006/main" xmlns:r="http://schemas.openxmlformats.org/officeDocument/2006/relationships">
  <sheetPr>
    <tabColor rgb="FF92D050"/>
    <pageSetUpPr fitToPage="1"/>
  </sheetPr>
  <dimension ref="A1:P46"/>
  <sheetViews>
    <sheetView view="pageBreakPreview" zoomScaleNormal="70" zoomScaleSheetLayoutView="100" zoomScalePageLayoutView="0" workbookViewId="0" topLeftCell="A1">
      <selection activeCell="C10" sqref="C10:C33"/>
    </sheetView>
  </sheetViews>
  <sheetFormatPr defaultColWidth="9.140625" defaultRowHeight="12.75"/>
  <cols>
    <col min="1" max="1" width="5.57421875" style="239" customWidth="1"/>
    <col min="2" max="2" width="16.8515625" style="239" customWidth="1"/>
    <col min="3" max="3" width="10.28125" style="239" customWidth="1"/>
    <col min="4" max="4" width="12.8515625" style="239" customWidth="1"/>
    <col min="5" max="5" width="8.7109375" style="239" customWidth="1"/>
    <col min="6" max="7" width="8.00390625" style="239" customWidth="1"/>
    <col min="8" max="10" width="8.140625" style="239" customWidth="1"/>
    <col min="11" max="11" width="8.421875" style="239" customWidth="1"/>
    <col min="12" max="12" width="8.140625" style="239" customWidth="1"/>
    <col min="13" max="13" width="8.8515625" style="239" customWidth="1"/>
    <col min="14" max="14" width="8.140625" style="239" customWidth="1"/>
    <col min="15" max="16384" width="9.140625" style="239" customWidth="1"/>
  </cols>
  <sheetData>
    <row r="1" spans="4:14" ht="12.75" customHeight="1">
      <c r="D1" s="932"/>
      <c r="E1" s="932"/>
      <c r="M1" s="933" t="s">
        <v>545</v>
      </c>
      <c r="N1" s="933"/>
    </row>
    <row r="2" spans="1:14" ht="15.75">
      <c r="A2" s="930" t="s">
        <v>0</v>
      </c>
      <c r="B2" s="930"/>
      <c r="C2" s="930"/>
      <c r="D2" s="930"/>
      <c r="E2" s="930"/>
      <c r="F2" s="930"/>
      <c r="G2" s="930"/>
      <c r="H2" s="930"/>
      <c r="I2" s="930"/>
      <c r="J2" s="930"/>
      <c r="K2" s="930"/>
      <c r="L2" s="930"/>
      <c r="M2" s="930"/>
      <c r="N2" s="930"/>
    </row>
    <row r="3" spans="1:14" ht="18">
      <c r="A3" s="931" t="s">
        <v>645</v>
      </c>
      <c r="B3" s="931"/>
      <c r="C3" s="931"/>
      <c r="D3" s="931"/>
      <c r="E3" s="931"/>
      <c r="F3" s="931"/>
      <c r="G3" s="931"/>
      <c r="H3" s="931"/>
      <c r="I3" s="931"/>
      <c r="J3" s="931"/>
      <c r="K3" s="931"/>
      <c r="L3" s="931"/>
      <c r="M3" s="931"/>
      <c r="N3" s="931"/>
    </row>
    <row r="4" spans="1:14" ht="12.75" customHeight="1">
      <c r="A4" s="929" t="s">
        <v>735</v>
      </c>
      <c r="B4" s="929"/>
      <c r="C4" s="929"/>
      <c r="D4" s="929"/>
      <c r="E4" s="929"/>
      <c r="F4" s="929"/>
      <c r="G4" s="929"/>
      <c r="H4" s="929"/>
      <c r="I4" s="929"/>
      <c r="J4" s="929"/>
      <c r="K4" s="929"/>
      <c r="L4" s="929"/>
      <c r="M4" s="929"/>
      <c r="N4" s="929"/>
    </row>
    <row r="5" spans="1:14" ht="12.75">
      <c r="A5" s="924"/>
      <c r="B5" s="924"/>
      <c r="C5" s="924"/>
      <c r="D5" s="924"/>
      <c r="E5" s="924"/>
      <c r="F5" s="924"/>
      <c r="G5" s="924"/>
      <c r="H5" s="924"/>
      <c r="I5" s="924"/>
      <c r="J5" s="924"/>
      <c r="K5" s="924"/>
      <c r="L5" s="924"/>
      <c r="M5" s="924"/>
      <c r="N5" s="924"/>
    </row>
    <row r="6" spans="1:14" ht="12.75">
      <c r="A6" s="926" t="s">
        <v>157</v>
      </c>
      <c r="B6" s="926"/>
      <c r="D6" s="285"/>
      <c r="H6" s="925"/>
      <c r="I6" s="925"/>
      <c r="J6" s="925"/>
      <c r="K6" s="925"/>
      <c r="L6" s="925"/>
      <c r="M6" s="925"/>
      <c r="N6" s="925"/>
    </row>
    <row r="7" spans="1:14" ht="30.75" customHeight="1">
      <c r="A7" s="738" t="s">
        <v>1</v>
      </c>
      <c r="B7" s="738" t="s">
        <v>2</v>
      </c>
      <c r="C7" s="934" t="s">
        <v>494</v>
      </c>
      <c r="D7" s="927" t="s">
        <v>78</v>
      </c>
      <c r="E7" s="740" t="s">
        <v>79</v>
      </c>
      <c r="F7" s="741"/>
      <c r="G7" s="741"/>
      <c r="H7" s="742"/>
      <c r="I7" s="740" t="s">
        <v>726</v>
      </c>
      <c r="J7" s="741"/>
      <c r="K7" s="741"/>
      <c r="L7" s="741"/>
      <c r="M7" s="741"/>
      <c r="N7" s="741"/>
    </row>
    <row r="8" spans="1:14" ht="44.25" customHeight="1">
      <c r="A8" s="738"/>
      <c r="B8" s="738"/>
      <c r="C8" s="935"/>
      <c r="D8" s="928"/>
      <c r="E8" s="22" t="s">
        <v>177</v>
      </c>
      <c r="F8" s="22" t="s">
        <v>110</v>
      </c>
      <c r="G8" s="22" t="s">
        <v>111</v>
      </c>
      <c r="H8" s="22" t="s">
        <v>442</v>
      </c>
      <c r="I8" s="22" t="s">
        <v>13</v>
      </c>
      <c r="J8" s="22" t="s">
        <v>727</v>
      </c>
      <c r="K8" s="22" t="s">
        <v>728</v>
      </c>
      <c r="L8" s="22" t="s">
        <v>729</v>
      </c>
      <c r="M8" s="22" t="s">
        <v>730</v>
      </c>
      <c r="N8" s="22" t="s">
        <v>731</v>
      </c>
    </row>
    <row r="9" spans="1:14" s="238" customFormat="1" ht="12.75">
      <c r="A9" s="22">
        <v>1</v>
      </c>
      <c r="B9" s="22">
        <v>2</v>
      </c>
      <c r="C9" s="22">
        <v>3</v>
      </c>
      <c r="D9" s="22">
        <v>8</v>
      </c>
      <c r="E9" s="22">
        <v>9</v>
      </c>
      <c r="F9" s="22">
        <v>10</v>
      </c>
      <c r="G9" s="22">
        <v>11</v>
      </c>
      <c r="H9" s="22">
        <v>12</v>
      </c>
      <c r="I9" s="22">
        <v>13</v>
      </c>
      <c r="J9" s="22">
        <v>14</v>
      </c>
      <c r="K9" s="22">
        <v>15</v>
      </c>
      <c r="L9" s="22">
        <v>16</v>
      </c>
      <c r="M9" s="22">
        <v>17</v>
      </c>
      <c r="N9" s="22">
        <v>18</v>
      </c>
    </row>
    <row r="10" spans="1:14" ht="12.75">
      <c r="A10" s="286">
        <v>1</v>
      </c>
      <c r="B10" s="224" t="s">
        <v>831</v>
      </c>
      <c r="C10" s="287">
        <v>668</v>
      </c>
      <c r="D10" s="463">
        <v>312</v>
      </c>
      <c r="E10" s="464">
        <f>F10</f>
        <v>31.262399999999996</v>
      </c>
      <c r="F10" s="464">
        <f>C10*D10*0.00015</f>
        <v>31.262399999999996</v>
      </c>
      <c r="G10" s="287"/>
      <c r="H10" s="287"/>
      <c r="I10" s="464">
        <f>C10*D10*0.00003</f>
        <v>6.25248</v>
      </c>
      <c r="J10" s="275" t="s">
        <v>912</v>
      </c>
      <c r="K10" s="275" t="s">
        <v>913</v>
      </c>
      <c r="L10" s="287"/>
      <c r="M10" s="287"/>
      <c r="N10" s="287"/>
    </row>
    <row r="11" spans="1:14" ht="12.75">
      <c r="A11" s="286">
        <v>2</v>
      </c>
      <c r="B11" s="224" t="s">
        <v>832</v>
      </c>
      <c r="C11" s="287">
        <v>0</v>
      </c>
      <c r="D11" s="463">
        <v>0</v>
      </c>
      <c r="E11" s="464">
        <f aca="true" t="shared" si="0" ref="E11:E34">F11</f>
        <v>0</v>
      </c>
      <c r="F11" s="464">
        <f aca="true" t="shared" si="1" ref="F11:F33">C11*D11*0.00015</f>
        <v>0</v>
      </c>
      <c r="G11" s="287"/>
      <c r="H11" s="287"/>
      <c r="I11" s="464">
        <f aca="true" t="shared" si="2" ref="I11:I33">C11*D11*0.00003</f>
        <v>0</v>
      </c>
      <c r="J11" s="275" t="s">
        <v>912</v>
      </c>
      <c r="K11" s="275" t="s">
        <v>913</v>
      </c>
      <c r="L11" s="287"/>
      <c r="M11" s="287"/>
      <c r="N11" s="287"/>
    </row>
    <row r="12" spans="1:14" ht="12.75">
      <c r="A12" s="286">
        <v>3</v>
      </c>
      <c r="B12" s="224" t="s">
        <v>833</v>
      </c>
      <c r="C12" s="287">
        <v>0</v>
      </c>
      <c r="D12" s="463">
        <v>0</v>
      </c>
      <c r="E12" s="464">
        <f t="shared" si="0"/>
        <v>0</v>
      </c>
      <c r="F12" s="464">
        <f t="shared" si="1"/>
        <v>0</v>
      </c>
      <c r="G12" s="287"/>
      <c r="H12" s="287"/>
      <c r="I12" s="464">
        <f t="shared" si="2"/>
        <v>0</v>
      </c>
      <c r="J12" s="275" t="s">
        <v>912</v>
      </c>
      <c r="K12" s="275" t="s">
        <v>913</v>
      </c>
      <c r="L12" s="287"/>
      <c r="M12" s="287"/>
      <c r="N12" s="287"/>
    </row>
    <row r="13" spans="1:14" ht="12.75">
      <c r="A13" s="286">
        <v>4</v>
      </c>
      <c r="B13" s="224" t="s">
        <v>834</v>
      </c>
      <c r="C13" s="287">
        <v>0</v>
      </c>
      <c r="D13" s="463">
        <v>0</v>
      </c>
      <c r="E13" s="464">
        <f t="shared" si="0"/>
        <v>0</v>
      </c>
      <c r="F13" s="464">
        <f t="shared" si="1"/>
        <v>0</v>
      </c>
      <c r="G13" s="287"/>
      <c r="H13" s="287"/>
      <c r="I13" s="464">
        <f t="shared" si="2"/>
        <v>0</v>
      </c>
      <c r="J13" s="275" t="s">
        <v>912</v>
      </c>
      <c r="K13" s="275" t="s">
        <v>913</v>
      </c>
      <c r="L13" s="287"/>
      <c r="M13" s="287"/>
      <c r="N13" s="287"/>
    </row>
    <row r="14" spans="1:14" ht="12.75">
      <c r="A14" s="286">
        <v>5</v>
      </c>
      <c r="B14" s="224" t="s">
        <v>835</v>
      </c>
      <c r="C14" s="287">
        <v>0</v>
      </c>
      <c r="D14" s="463">
        <v>0</v>
      </c>
      <c r="E14" s="464">
        <f t="shared" si="0"/>
        <v>0</v>
      </c>
      <c r="F14" s="464">
        <f t="shared" si="1"/>
        <v>0</v>
      </c>
      <c r="G14" s="287"/>
      <c r="H14" s="287"/>
      <c r="I14" s="464">
        <f t="shared" si="2"/>
        <v>0</v>
      </c>
      <c r="J14" s="275" t="s">
        <v>912</v>
      </c>
      <c r="K14" s="275" t="s">
        <v>913</v>
      </c>
      <c r="L14" s="287"/>
      <c r="M14" s="287"/>
      <c r="N14" s="287"/>
    </row>
    <row r="15" spans="1:14" ht="12.75">
      <c r="A15" s="286">
        <v>6</v>
      </c>
      <c r="B15" s="224" t="s">
        <v>836</v>
      </c>
      <c r="C15" s="287">
        <v>0</v>
      </c>
      <c r="D15" s="463">
        <v>0</v>
      </c>
      <c r="E15" s="464">
        <f t="shared" si="0"/>
        <v>0</v>
      </c>
      <c r="F15" s="464">
        <f t="shared" si="1"/>
        <v>0</v>
      </c>
      <c r="G15" s="287"/>
      <c r="H15" s="287"/>
      <c r="I15" s="464">
        <f t="shared" si="2"/>
        <v>0</v>
      </c>
      <c r="J15" s="275" t="s">
        <v>912</v>
      </c>
      <c r="K15" s="275" t="s">
        <v>913</v>
      </c>
      <c r="L15" s="287"/>
      <c r="M15" s="287"/>
      <c r="N15" s="287"/>
    </row>
    <row r="16" spans="1:14" ht="12.75">
      <c r="A16" s="286">
        <v>7</v>
      </c>
      <c r="B16" s="224" t="s">
        <v>837</v>
      </c>
      <c r="C16" s="287">
        <v>0</v>
      </c>
      <c r="D16" s="463">
        <v>0</v>
      </c>
      <c r="E16" s="464">
        <f t="shared" si="0"/>
        <v>0</v>
      </c>
      <c r="F16" s="464">
        <f t="shared" si="1"/>
        <v>0</v>
      </c>
      <c r="G16" s="287"/>
      <c r="H16" s="287"/>
      <c r="I16" s="464">
        <f t="shared" si="2"/>
        <v>0</v>
      </c>
      <c r="J16" s="275" t="s">
        <v>912</v>
      </c>
      <c r="K16" s="275" t="s">
        <v>913</v>
      </c>
      <c r="L16" s="287"/>
      <c r="M16" s="287"/>
      <c r="N16" s="287"/>
    </row>
    <row r="17" spans="1:14" ht="12.75">
      <c r="A17" s="286">
        <v>8</v>
      </c>
      <c r="B17" s="224" t="s">
        <v>838</v>
      </c>
      <c r="C17" s="287">
        <v>899</v>
      </c>
      <c r="D17" s="463">
        <v>312</v>
      </c>
      <c r="E17" s="464">
        <f t="shared" si="0"/>
        <v>42.07319999999999</v>
      </c>
      <c r="F17" s="464">
        <f t="shared" si="1"/>
        <v>42.07319999999999</v>
      </c>
      <c r="G17" s="287"/>
      <c r="H17" s="287"/>
      <c r="I17" s="464">
        <f t="shared" si="2"/>
        <v>8.41464</v>
      </c>
      <c r="J17" s="275" t="s">
        <v>912</v>
      </c>
      <c r="K17" s="275" t="s">
        <v>913</v>
      </c>
      <c r="L17" s="287"/>
      <c r="M17" s="287"/>
      <c r="N17" s="287"/>
    </row>
    <row r="18" spans="1:14" ht="12.75">
      <c r="A18" s="286">
        <v>9</v>
      </c>
      <c r="B18" s="224" t="s">
        <v>839</v>
      </c>
      <c r="C18" s="287">
        <v>0</v>
      </c>
      <c r="D18" s="463">
        <v>0</v>
      </c>
      <c r="E18" s="464">
        <f t="shared" si="0"/>
        <v>0</v>
      </c>
      <c r="F18" s="464">
        <f t="shared" si="1"/>
        <v>0</v>
      </c>
      <c r="G18" s="287"/>
      <c r="H18" s="287"/>
      <c r="I18" s="464">
        <f t="shared" si="2"/>
        <v>0</v>
      </c>
      <c r="J18" s="275" t="s">
        <v>912</v>
      </c>
      <c r="K18" s="275" t="s">
        <v>913</v>
      </c>
      <c r="L18" s="287"/>
      <c r="M18" s="287"/>
      <c r="N18" s="287"/>
    </row>
    <row r="19" spans="1:14" ht="12.75">
      <c r="A19" s="286">
        <v>10</v>
      </c>
      <c r="B19" s="224" t="s">
        <v>840</v>
      </c>
      <c r="C19" s="287">
        <v>0</v>
      </c>
      <c r="D19" s="463">
        <v>0</v>
      </c>
      <c r="E19" s="464">
        <f t="shared" si="0"/>
        <v>0</v>
      </c>
      <c r="F19" s="464">
        <f t="shared" si="1"/>
        <v>0</v>
      </c>
      <c r="G19" s="287"/>
      <c r="H19" s="287"/>
      <c r="I19" s="464">
        <f t="shared" si="2"/>
        <v>0</v>
      </c>
      <c r="J19" s="275" t="s">
        <v>912</v>
      </c>
      <c r="K19" s="275" t="s">
        <v>913</v>
      </c>
      <c r="L19" s="287"/>
      <c r="M19" s="287"/>
      <c r="N19" s="287"/>
    </row>
    <row r="20" spans="1:14" ht="12.75">
      <c r="A20" s="286">
        <v>11</v>
      </c>
      <c r="B20" s="224" t="s">
        <v>841</v>
      </c>
      <c r="C20" s="287">
        <v>1022</v>
      </c>
      <c r="D20" s="463">
        <v>312</v>
      </c>
      <c r="E20" s="464">
        <f t="shared" si="0"/>
        <v>47.8296</v>
      </c>
      <c r="F20" s="464">
        <f t="shared" si="1"/>
        <v>47.8296</v>
      </c>
      <c r="G20" s="287"/>
      <c r="H20" s="287"/>
      <c r="I20" s="464">
        <f t="shared" si="2"/>
        <v>9.56592</v>
      </c>
      <c r="J20" s="275" t="s">
        <v>912</v>
      </c>
      <c r="K20" s="275" t="s">
        <v>913</v>
      </c>
      <c r="L20" s="287"/>
      <c r="M20" s="287"/>
      <c r="N20" s="287"/>
    </row>
    <row r="21" spans="1:14" ht="12.75">
      <c r="A21" s="286">
        <v>12</v>
      </c>
      <c r="B21" s="224" t="s">
        <v>842</v>
      </c>
      <c r="C21" s="287">
        <v>539</v>
      </c>
      <c r="D21" s="463">
        <v>312</v>
      </c>
      <c r="E21" s="464">
        <f t="shared" si="0"/>
        <v>25.225199999999997</v>
      </c>
      <c r="F21" s="464">
        <f t="shared" si="1"/>
        <v>25.225199999999997</v>
      </c>
      <c r="G21" s="287"/>
      <c r="H21" s="287"/>
      <c r="I21" s="464">
        <f t="shared" si="2"/>
        <v>5.04504</v>
      </c>
      <c r="J21" s="275" t="s">
        <v>912</v>
      </c>
      <c r="K21" s="275" t="s">
        <v>913</v>
      </c>
      <c r="L21" s="287"/>
      <c r="M21" s="287"/>
      <c r="N21" s="287"/>
    </row>
    <row r="22" spans="1:14" ht="12.75">
      <c r="A22" s="286">
        <v>13</v>
      </c>
      <c r="B22" s="224" t="s">
        <v>843</v>
      </c>
      <c r="C22" s="287">
        <v>0</v>
      </c>
      <c r="D22" s="463">
        <v>0</v>
      </c>
      <c r="E22" s="464">
        <f t="shared" si="0"/>
        <v>0</v>
      </c>
      <c r="F22" s="464">
        <f t="shared" si="1"/>
        <v>0</v>
      </c>
      <c r="G22" s="287"/>
      <c r="H22" s="287"/>
      <c r="I22" s="464">
        <f t="shared" si="2"/>
        <v>0</v>
      </c>
      <c r="J22" s="275" t="s">
        <v>912</v>
      </c>
      <c r="K22" s="275" t="s">
        <v>913</v>
      </c>
      <c r="L22" s="287"/>
      <c r="M22" s="287"/>
      <c r="N22" s="287"/>
    </row>
    <row r="23" spans="1:14" ht="12.75">
      <c r="A23" s="286">
        <v>14</v>
      </c>
      <c r="B23" s="224" t="s">
        <v>844</v>
      </c>
      <c r="C23" s="287">
        <v>0</v>
      </c>
      <c r="D23" s="463">
        <v>0</v>
      </c>
      <c r="E23" s="464">
        <f t="shared" si="0"/>
        <v>0</v>
      </c>
      <c r="F23" s="464">
        <f t="shared" si="1"/>
        <v>0</v>
      </c>
      <c r="G23" s="287"/>
      <c r="H23" s="287"/>
      <c r="I23" s="464">
        <f t="shared" si="2"/>
        <v>0</v>
      </c>
      <c r="J23" s="275" t="s">
        <v>912</v>
      </c>
      <c r="K23" s="275" t="s">
        <v>913</v>
      </c>
      <c r="L23" s="287"/>
      <c r="M23" s="287"/>
      <c r="N23" s="287"/>
    </row>
    <row r="24" spans="1:14" ht="12.75">
      <c r="A24" s="286">
        <v>15</v>
      </c>
      <c r="B24" s="224" t="s">
        <v>845</v>
      </c>
      <c r="C24" s="287">
        <v>0</v>
      </c>
      <c r="D24" s="463">
        <v>0</v>
      </c>
      <c r="E24" s="464">
        <f t="shared" si="0"/>
        <v>0</v>
      </c>
      <c r="F24" s="464">
        <f t="shared" si="1"/>
        <v>0</v>
      </c>
      <c r="G24" s="287"/>
      <c r="H24" s="287"/>
      <c r="I24" s="464">
        <f t="shared" si="2"/>
        <v>0</v>
      </c>
      <c r="J24" s="275" t="s">
        <v>912</v>
      </c>
      <c r="K24" s="275" t="s">
        <v>913</v>
      </c>
      <c r="L24" s="287"/>
      <c r="M24" s="287"/>
      <c r="N24" s="287"/>
    </row>
    <row r="25" spans="1:14" ht="12.75">
      <c r="A25" s="286">
        <v>16</v>
      </c>
      <c r="B25" s="224" t="s">
        <v>846</v>
      </c>
      <c r="C25" s="287">
        <v>0</v>
      </c>
      <c r="D25" s="463">
        <v>0</v>
      </c>
      <c r="E25" s="464">
        <f t="shared" si="0"/>
        <v>0</v>
      </c>
      <c r="F25" s="464">
        <f t="shared" si="1"/>
        <v>0</v>
      </c>
      <c r="G25" s="287"/>
      <c r="H25" s="287"/>
      <c r="I25" s="464">
        <f t="shared" si="2"/>
        <v>0</v>
      </c>
      <c r="J25" s="275" t="s">
        <v>912</v>
      </c>
      <c r="K25" s="275" t="s">
        <v>913</v>
      </c>
      <c r="L25" s="287"/>
      <c r="M25" s="287"/>
      <c r="N25" s="287"/>
    </row>
    <row r="26" spans="1:14" ht="12.75">
      <c r="A26" s="286">
        <v>17</v>
      </c>
      <c r="B26" s="224" t="s">
        <v>847</v>
      </c>
      <c r="C26" s="287">
        <v>0</v>
      </c>
      <c r="D26" s="463">
        <v>0</v>
      </c>
      <c r="E26" s="464">
        <f t="shared" si="0"/>
        <v>0</v>
      </c>
      <c r="F26" s="464">
        <f t="shared" si="1"/>
        <v>0</v>
      </c>
      <c r="G26" s="287"/>
      <c r="H26" s="287"/>
      <c r="I26" s="464">
        <f t="shared" si="2"/>
        <v>0</v>
      </c>
      <c r="J26" s="275" t="s">
        <v>912</v>
      </c>
      <c r="K26" s="275" t="s">
        <v>913</v>
      </c>
      <c r="L26" s="287"/>
      <c r="M26" s="287"/>
      <c r="N26" s="287"/>
    </row>
    <row r="27" spans="1:14" ht="12.75">
      <c r="A27" s="286">
        <v>18</v>
      </c>
      <c r="B27" s="224" t="s">
        <v>848</v>
      </c>
      <c r="C27" s="287">
        <v>0</v>
      </c>
      <c r="D27" s="463">
        <v>0</v>
      </c>
      <c r="E27" s="464">
        <f t="shared" si="0"/>
        <v>0</v>
      </c>
      <c r="F27" s="464">
        <f t="shared" si="1"/>
        <v>0</v>
      </c>
      <c r="G27" s="287"/>
      <c r="H27" s="287"/>
      <c r="I27" s="464">
        <f t="shared" si="2"/>
        <v>0</v>
      </c>
      <c r="J27" s="275" t="s">
        <v>912</v>
      </c>
      <c r="K27" s="275" t="s">
        <v>913</v>
      </c>
      <c r="L27" s="287"/>
      <c r="M27" s="287"/>
      <c r="N27" s="287"/>
    </row>
    <row r="28" spans="1:14" ht="12.75">
      <c r="A28" s="286">
        <v>19</v>
      </c>
      <c r="B28" s="224" t="s">
        <v>849</v>
      </c>
      <c r="C28" s="287">
        <v>804</v>
      </c>
      <c r="D28" s="463">
        <v>312</v>
      </c>
      <c r="E28" s="464">
        <f t="shared" si="0"/>
        <v>37.627199999999995</v>
      </c>
      <c r="F28" s="464">
        <f t="shared" si="1"/>
        <v>37.627199999999995</v>
      </c>
      <c r="G28" s="287"/>
      <c r="H28" s="287"/>
      <c r="I28" s="464">
        <f t="shared" si="2"/>
        <v>7.525440000000001</v>
      </c>
      <c r="J28" s="275" t="s">
        <v>912</v>
      </c>
      <c r="K28" s="275" t="s">
        <v>913</v>
      </c>
      <c r="L28" s="287"/>
      <c r="M28" s="287"/>
      <c r="N28" s="287"/>
    </row>
    <row r="29" spans="1:14" ht="12.75">
      <c r="A29" s="286">
        <v>20</v>
      </c>
      <c r="B29" s="224" t="s">
        <v>850</v>
      </c>
      <c r="C29" s="287">
        <v>0</v>
      </c>
      <c r="D29" s="463">
        <v>0</v>
      </c>
      <c r="E29" s="464">
        <f t="shared" si="0"/>
        <v>0</v>
      </c>
      <c r="F29" s="464">
        <f t="shared" si="1"/>
        <v>0</v>
      </c>
      <c r="G29" s="287"/>
      <c r="H29" s="287"/>
      <c r="I29" s="464">
        <f t="shared" si="2"/>
        <v>0</v>
      </c>
      <c r="J29" s="275" t="s">
        <v>912</v>
      </c>
      <c r="K29" s="275" t="s">
        <v>913</v>
      </c>
      <c r="L29" s="287"/>
      <c r="M29" s="287"/>
      <c r="N29" s="287"/>
    </row>
    <row r="30" spans="1:14" ht="12.75">
      <c r="A30" s="286">
        <v>21</v>
      </c>
      <c r="B30" s="224" t="s">
        <v>851</v>
      </c>
      <c r="C30" s="287">
        <v>350</v>
      </c>
      <c r="D30" s="463">
        <v>312</v>
      </c>
      <c r="E30" s="464">
        <f t="shared" si="0"/>
        <v>16.38</v>
      </c>
      <c r="F30" s="464">
        <f t="shared" si="1"/>
        <v>16.38</v>
      </c>
      <c r="G30" s="287"/>
      <c r="H30" s="287"/>
      <c r="I30" s="464">
        <f t="shared" si="2"/>
        <v>3.2760000000000002</v>
      </c>
      <c r="J30" s="275" t="s">
        <v>912</v>
      </c>
      <c r="K30" s="275" t="s">
        <v>913</v>
      </c>
      <c r="L30" s="287"/>
      <c r="M30" s="287"/>
      <c r="N30" s="287"/>
    </row>
    <row r="31" spans="1:14" ht="12.75">
      <c r="A31" s="286">
        <v>22</v>
      </c>
      <c r="B31" s="224" t="s">
        <v>852</v>
      </c>
      <c r="C31" s="287">
        <v>412</v>
      </c>
      <c r="D31" s="463">
        <v>312</v>
      </c>
      <c r="E31" s="464">
        <f t="shared" si="0"/>
        <v>19.281599999999997</v>
      </c>
      <c r="F31" s="464">
        <f t="shared" si="1"/>
        <v>19.281599999999997</v>
      </c>
      <c r="G31" s="287"/>
      <c r="H31" s="287"/>
      <c r="I31" s="464">
        <f t="shared" si="2"/>
        <v>3.85632</v>
      </c>
      <c r="J31" s="275" t="s">
        <v>912</v>
      </c>
      <c r="K31" s="275" t="s">
        <v>913</v>
      </c>
      <c r="L31" s="287"/>
      <c r="M31" s="287"/>
      <c r="N31" s="287"/>
    </row>
    <row r="32" spans="1:14" ht="12.75">
      <c r="A32" s="286">
        <v>23</v>
      </c>
      <c r="B32" s="224" t="s">
        <v>853</v>
      </c>
      <c r="C32" s="287">
        <v>0</v>
      </c>
      <c r="D32" s="463">
        <v>0</v>
      </c>
      <c r="E32" s="464">
        <f t="shared" si="0"/>
        <v>0</v>
      </c>
      <c r="F32" s="464">
        <f t="shared" si="1"/>
        <v>0</v>
      </c>
      <c r="G32" s="287"/>
      <c r="H32" s="287"/>
      <c r="I32" s="464">
        <f t="shared" si="2"/>
        <v>0</v>
      </c>
      <c r="J32" s="275" t="s">
        <v>912</v>
      </c>
      <c r="K32" s="275" t="s">
        <v>913</v>
      </c>
      <c r="L32" s="287"/>
      <c r="M32" s="287"/>
      <c r="N32" s="287"/>
    </row>
    <row r="33" spans="1:14" ht="12.75">
      <c r="A33" s="286">
        <v>24</v>
      </c>
      <c r="B33" s="224" t="s">
        <v>854</v>
      </c>
      <c r="C33" s="287">
        <v>0</v>
      </c>
      <c r="D33" s="463">
        <v>0</v>
      </c>
      <c r="E33" s="464">
        <f t="shared" si="0"/>
        <v>0</v>
      </c>
      <c r="F33" s="464">
        <f t="shared" si="1"/>
        <v>0</v>
      </c>
      <c r="G33" s="287"/>
      <c r="H33" s="287"/>
      <c r="I33" s="464">
        <f t="shared" si="2"/>
        <v>0</v>
      </c>
      <c r="J33" s="275" t="s">
        <v>912</v>
      </c>
      <c r="K33" s="275" t="s">
        <v>913</v>
      </c>
      <c r="L33" s="287"/>
      <c r="M33" s="287"/>
      <c r="N33" s="287"/>
    </row>
    <row r="34" spans="1:14" s="238" customFormat="1" ht="12.75">
      <c r="A34" s="828" t="s">
        <v>860</v>
      </c>
      <c r="B34" s="923"/>
      <c r="C34" s="291">
        <f>SUM(C10:C33)</f>
        <v>4694</v>
      </c>
      <c r="D34" s="292"/>
      <c r="E34" s="293">
        <f t="shared" si="0"/>
        <v>219.67919999999995</v>
      </c>
      <c r="F34" s="293">
        <f>SUM(F10:F33)</f>
        <v>219.67919999999995</v>
      </c>
      <c r="G34" s="291"/>
      <c r="H34" s="291"/>
      <c r="I34" s="293">
        <f>SUM(I10:I33)</f>
        <v>43.93584000000001</v>
      </c>
      <c r="J34" s="317" t="s">
        <v>912</v>
      </c>
      <c r="K34" s="317" t="s">
        <v>913</v>
      </c>
      <c r="L34" s="291"/>
      <c r="M34" s="291"/>
      <c r="N34" s="291"/>
    </row>
    <row r="35" spans="1:15" ht="12.75">
      <c r="A35" s="288"/>
      <c r="B35" s="288"/>
      <c r="C35" s="288"/>
      <c r="D35" s="288"/>
      <c r="O35" s="316">
        <f>'AT27_Req_FG_CA_Pry'!I35+'AT27A_Req_FG_CA_U Pry '!I34+'AT27B_Req_FG_CA_N CLP'!E34</f>
        <v>99794.4102</v>
      </c>
    </row>
    <row r="36" spans="1:16" ht="12.75">
      <c r="A36" s="289" t="s">
        <v>6</v>
      </c>
      <c r="B36" s="290"/>
      <c r="C36" s="290"/>
      <c r="D36" s="288"/>
      <c r="O36" s="316">
        <f>I34+'AT27A_Req_FG_CA_U Pry '!M34+'AT27_Req_FG_CA_Pry'!M35</f>
        <v>19958.882040000004</v>
      </c>
      <c r="P36" s="239">
        <f>O36*5</f>
        <v>99794.41020000001</v>
      </c>
    </row>
    <row r="37" spans="1:3" ht="12.75">
      <c r="A37" s="238" t="s">
        <v>7</v>
      </c>
      <c r="B37" s="238"/>
      <c r="C37" s="238"/>
    </row>
    <row r="38" spans="1:15" ht="12.75">
      <c r="A38" s="238" t="s">
        <v>8</v>
      </c>
      <c r="B38" s="238"/>
      <c r="C38" s="238"/>
      <c r="O38" s="239">
        <f>20/100*O35</f>
        <v>19958.88204</v>
      </c>
    </row>
    <row r="39" spans="1:3" ht="12.75">
      <c r="A39" s="238"/>
      <c r="B39" s="238"/>
      <c r="C39" s="238"/>
    </row>
    <row r="40" spans="1:3" ht="12.75">
      <c r="A40" s="238"/>
      <c r="B40" s="238"/>
      <c r="C40" s="238"/>
    </row>
    <row r="41" spans="1:14" ht="12.75">
      <c r="A41" s="238"/>
      <c r="D41" s="238"/>
      <c r="F41" s="238"/>
      <c r="G41" s="238"/>
      <c r="H41" s="238"/>
      <c r="I41" s="238"/>
      <c r="J41" s="238"/>
      <c r="K41" s="238"/>
      <c r="L41" s="238"/>
      <c r="M41" s="238"/>
      <c r="N41" s="238"/>
    </row>
    <row r="42" spans="1:13" ht="12.75" customHeight="1">
      <c r="A42" s="559" t="s">
        <v>989</v>
      </c>
      <c r="B42" s="559"/>
      <c r="C42" s="559"/>
      <c r="D42" s="12"/>
      <c r="E42" s="559" t="s">
        <v>990</v>
      </c>
      <c r="F42" s="559"/>
      <c r="G42" s="359"/>
      <c r="J42" s="559" t="s">
        <v>996</v>
      </c>
      <c r="K42" s="559"/>
      <c r="L42" s="559"/>
      <c r="M42" s="559"/>
    </row>
    <row r="43" spans="1:13" ht="12.75" customHeight="1">
      <c r="A43" s="559" t="s">
        <v>991</v>
      </c>
      <c r="B43" s="559"/>
      <c r="C43" s="559"/>
      <c r="D43" s="12"/>
      <c r="E43" s="559" t="s">
        <v>992</v>
      </c>
      <c r="F43" s="559"/>
      <c r="G43" s="359"/>
      <c r="J43" s="559" t="s">
        <v>993</v>
      </c>
      <c r="K43" s="559"/>
      <c r="L43" s="559"/>
      <c r="M43" s="559"/>
    </row>
    <row r="44" spans="1:13" ht="12.75">
      <c r="A44" s="559" t="s">
        <v>994</v>
      </c>
      <c r="B44" s="559"/>
      <c r="C44" s="559"/>
      <c r="D44" s="12"/>
      <c r="E44" s="559" t="s">
        <v>995</v>
      </c>
      <c r="F44" s="559"/>
      <c r="G44" s="359"/>
      <c r="J44" s="559" t="s">
        <v>995</v>
      </c>
      <c r="K44" s="559"/>
      <c r="L44" s="559"/>
      <c r="M44" s="559"/>
    </row>
    <row r="46" spans="1:14" ht="12.75">
      <c r="A46" s="924"/>
      <c r="B46" s="924"/>
      <c r="C46" s="924"/>
      <c r="D46" s="924"/>
      <c r="E46" s="924"/>
      <c r="F46" s="924"/>
      <c r="G46" s="924"/>
      <c r="H46" s="924"/>
      <c r="I46" s="924"/>
      <c r="J46" s="924"/>
      <c r="K46" s="924"/>
      <c r="L46" s="924"/>
      <c r="M46" s="924"/>
      <c r="N46" s="924"/>
    </row>
  </sheetData>
  <sheetProtection/>
  <mergeCells count="25">
    <mergeCell ref="E7:H7"/>
    <mergeCell ref="I7:N7"/>
    <mergeCell ref="A5:N5"/>
    <mergeCell ref="D1:E1"/>
    <mergeCell ref="M1:N1"/>
    <mergeCell ref="A2:N2"/>
    <mergeCell ref="A3:N3"/>
    <mergeCell ref="A4:N4"/>
    <mergeCell ref="A34:B34"/>
    <mergeCell ref="A46:N46"/>
    <mergeCell ref="C7:C8"/>
    <mergeCell ref="A6:B6"/>
    <mergeCell ref="H6:N6"/>
    <mergeCell ref="A7:A8"/>
    <mergeCell ref="B7:B8"/>
    <mergeCell ref="D7:D8"/>
    <mergeCell ref="A42:C42"/>
    <mergeCell ref="E42:F42"/>
    <mergeCell ref="J42:M42"/>
    <mergeCell ref="A43:C43"/>
    <mergeCell ref="E43:F43"/>
    <mergeCell ref="J43:M43"/>
    <mergeCell ref="A44:C44"/>
    <mergeCell ref="E44:F44"/>
    <mergeCell ref="J44:M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X30"/>
  <sheetViews>
    <sheetView view="pageBreakPreview" zoomScale="85" zoomScaleSheetLayoutView="85" zoomScalePageLayoutView="0" workbookViewId="0" topLeftCell="C2">
      <selection activeCell="K39" sqref="K39"/>
    </sheetView>
  </sheetViews>
  <sheetFormatPr defaultColWidth="9.140625" defaultRowHeight="12.75"/>
  <cols>
    <col min="1" max="1" width="7.28125" style="542" customWidth="1"/>
    <col min="2" max="2" width="28.28125" style="542" customWidth="1"/>
    <col min="3" max="3" width="10.28125" style="542" bestFit="1" customWidth="1"/>
    <col min="4" max="4" width="8.28125" style="542" customWidth="1"/>
    <col min="5" max="5" width="9.28125" style="542" bestFit="1" customWidth="1"/>
    <col min="6" max="6" width="16.00390625" style="542" customWidth="1"/>
    <col min="7" max="9" width="10.7109375" style="542" customWidth="1"/>
    <col min="10" max="10" width="12.421875" style="542" bestFit="1" customWidth="1"/>
    <col min="11" max="13" width="9.140625" style="542" customWidth="1"/>
    <col min="14" max="14" width="16.00390625" style="542" bestFit="1" customWidth="1"/>
    <col min="15" max="18" width="9.140625" style="542" customWidth="1"/>
    <col min="19" max="21" width="8.8515625" style="542" customWidth="1"/>
    <col min="22" max="16384" width="9.140625" style="542" customWidth="1"/>
  </cols>
  <sheetData>
    <row r="1" ht="15">
      <c r="V1" s="136" t="s">
        <v>550</v>
      </c>
    </row>
    <row r="2" spans="1:22" ht="15.75">
      <c r="A2" s="656" t="s">
        <v>0</v>
      </c>
      <c r="B2" s="656"/>
      <c r="C2" s="656"/>
      <c r="D2" s="656"/>
      <c r="E2" s="656"/>
      <c r="F2" s="656"/>
      <c r="G2" s="656"/>
      <c r="H2" s="656"/>
      <c r="I2" s="656"/>
      <c r="J2" s="656"/>
      <c r="K2" s="656"/>
      <c r="L2" s="656"/>
      <c r="M2" s="656"/>
      <c r="N2" s="656"/>
      <c r="O2" s="656"/>
      <c r="P2" s="656"/>
      <c r="Q2" s="656"/>
      <c r="R2" s="656"/>
      <c r="S2" s="656"/>
      <c r="T2" s="656"/>
      <c r="U2" s="656"/>
      <c r="V2" s="656"/>
    </row>
    <row r="3" spans="1:24" ht="20.25">
      <c r="A3" s="657" t="s">
        <v>645</v>
      </c>
      <c r="B3" s="657"/>
      <c r="C3" s="657"/>
      <c r="D3" s="657"/>
      <c r="E3" s="657"/>
      <c r="F3" s="657"/>
      <c r="G3" s="657"/>
      <c r="H3" s="657"/>
      <c r="I3" s="657"/>
      <c r="J3" s="657"/>
      <c r="K3" s="657"/>
      <c r="L3" s="657"/>
      <c r="M3" s="657"/>
      <c r="N3" s="657"/>
      <c r="O3" s="657"/>
      <c r="P3" s="657"/>
      <c r="Q3" s="657"/>
      <c r="R3" s="657"/>
      <c r="S3" s="657"/>
      <c r="T3" s="657"/>
      <c r="U3" s="657"/>
      <c r="V3" s="657"/>
      <c r="W3" s="99"/>
      <c r="X3" s="99"/>
    </row>
    <row r="4" spans="3:22" ht="18">
      <c r="C4" s="137"/>
      <c r="D4" s="137"/>
      <c r="E4" s="137"/>
      <c r="F4" s="137"/>
      <c r="G4" s="137"/>
      <c r="H4" s="137"/>
      <c r="I4" s="137"/>
      <c r="J4" s="137"/>
      <c r="K4" s="137"/>
      <c r="L4" s="137"/>
      <c r="M4" s="137"/>
      <c r="N4" s="137"/>
      <c r="O4" s="137"/>
      <c r="P4" s="137"/>
      <c r="Q4" s="137"/>
      <c r="R4" s="137"/>
      <c r="S4" s="137"/>
      <c r="T4" s="137"/>
      <c r="U4" s="137"/>
      <c r="V4" s="137"/>
    </row>
    <row r="5" spans="1:22" ht="15.75">
      <c r="A5" s="658" t="s">
        <v>648</v>
      </c>
      <c r="B5" s="658"/>
      <c r="C5" s="658"/>
      <c r="D5" s="658"/>
      <c r="E5" s="658"/>
      <c r="F5" s="658"/>
      <c r="G5" s="658"/>
      <c r="H5" s="658"/>
      <c r="I5" s="658"/>
      <c r="J5" s="658"/>
      <c r="K5" s="658"/>
      <c r="L5" s="658"/>
      <c r="M5" s="658"/>
      <c r="N5" s="658"/>
      <c r="O5" s="658"/>
      <c r="P5" s="658"/>
      <c r="Q5" s="658"/>
      <c r="R5" s="658"/>
      <c r="S5" s="658"/>
      <c r="T5" s="658"/>
      <c r="U5" s="658"/>
      <c r="V5" s="658"/>
    </row>
    <row r="6" spans="11:22" ht="15">
      <c r="K6" s="69"/>
      <c r="L6" s="69"/>
      <c r="M6" s="69"/>
      <c r="N6" s="69"/>
      <c r="O6" s="69"/>
      <c r="P6" s="69"/>
      <c r="Q6" s="69"/>
      <c r="R6" s="69"/>
      <c r="U6" s="671" t="s">
        <v>257</v>
      </c>
      <c r="V6" s="672"/>
    </row>
    <row r="7" spans="1:22" ht="12.75">
      <c r="A7" s="673" t="s">
        <v>956</v>
      </c>
      <c r="B7" s="673"/>
      <c r="O7" s="674" t="s">
        <v>980</v>
      </c>
      <c r="P7" s="674"/>
      <c r="Q7" s="674"/>
      <c r="R7" s="674"/>
      <c r="S7" s="674"/>
      <c r="T7" s="674"/>
      <c r="U7" s="674"/>
      <c r="V7" s="674"/>
    </row>
    <row r="8" spans="1:22" s="543" customFormat="1" ht="35.25" customHeight="1">
      <c r="A8" s="661" t="s">
        <v>1</v>
      </c>
      <c r="B8" s="661" t="s">
        <v>143</v>
      </c>
      <c r="C8" s="661" t="s">
        <v>144</v>
      </c>
      <c r="D8" s="661"/>
      <c r="E8" s="661"/>
      <c r="F8" s="661" t="s">
        <v>145</v>
      </c>
      <c r="G8" s="661" t="s">
        <v>174</v>
      </c>
      <c r="H8" s="661"/>
      <c r="I8" s="661"/>
      <c r="J8" s="661"/>
      <c r="K8" s="661"/>
      <c r="L8" s="661"/>
      <c r="M8" s="661"/>
      <c r="N8" s="661"/>
      <c r="O8" s="661" t="s">
        <v>175</v>
      </c>
      <c r="P8" s="661"/>
      <c r="Q8" s="661"/>
      <c r="R8" s="661"/>
      <c r="S8" s="661"/>
      <c r="T8" s="661"/>
      <c r="U8" s="661"/>
      <c r="V8" s="661"/>
    </row>
    <row r="9" spans="1:22" s="543" customFormat="1" ht="15">
      <c r="A9" s="661"/>
      <c r="B9" s="661"/>
      <c r="C9" s="661" t="s">
        <v>258</v>
      </c>
      <c r="D9" s="661" t="s">
        <v>37</v>
      </c>
      <c r="E9" s="661" t="s">
        <v>38</v>
      </c>
      <c r="F9" s="661"/>
      <c r="G9" s="661" t="s">
        <v>176</v>
      </c>
      <c r="H9" s="661"/>
      <c r="I9" s="661"/>
      <c r="J9" s="661"/>
      <c r="K9" s="661" t="s">
        <v>160</v>
      </c>
      <c r="L9" s="661"/>
      <c r="M9" s="661"/>
      <c r="N9" s="661"/>
      <c r="O9" s="661" t="s">
        <v>146</v>
      </c>
      <c r="P9" s="661"/>
      <c r="Q9" s="661"/>
      <c r="R9" s="661"/>
      <c r="S9" s="661" t="s">
        <v>159</v>
      </c>
      <c r="T9" s="661"/>
      <c r="U9" s="661"/>
      <c r="V9" s="661"/>
    </row>
    <row r="10" spans="1:22" s="543" customFormat="1" ht="12.75">
      <c r="A10" s="661"/>
      <c r="B10" s="661"/>
      <c r="C10" s="661"/>
      <c r="D10" s="661"/>
      <c r="E10" s="661"/>
      <c r="F10" s="661"/>
      <c r="G10" s="662" t="s">
        <v>147</v>
      </c>
      <c r="H10" s="663"/>
      <c r="I10" s="664"/>
      <c r="J10" s="668" t="s">
        <v>148</v>
      </c>
      <c r="K10" s="662" t="s">
        <v>147</v>
      </c>
      <c r="L10" s="663"/>
      <c r="M10" s="664"/>
      <c r="N10" s="668" t="s">
        <v>148</v>
      </c>
      <c r="O10" s="662" t="s">
        <v>147</v>
      </c>
      <c r="P10" s="663"/>
      <c r="Q10" s="664"/>
      <c r="R10" s="668" t="s">
        <v>148</v>
      </c>
      <c r="S10" s="662" t="s">
        <v>147</v>
      </c>
      <c r="T10" s="663"/>
      <c r="U10" s="664"/>
      <c r="V10" s="668" t="s">
        <v>148</v>
      </c>
    </row>
    <row r="11" spans="1:22" s="543" customFormat="1" ht="15" customHeight="1">
      <c r="A11" s="661"/>
      <c r="B11" s="661"/>
      <c r="C11" s="661"/>
      <c r="D11" s="661"/>
      <c r="E11" s="661"/>
      <c r="F11" s="661"/>
      <c r="G11" s="665"/>
      <c r="H11" s="666"/>
      <c r="I11" s="667"/>
      <c r="J11" s="669"/>
      <c r="K11" s="665"/>
      <c r="L11" s="666"/>
      <c r="M11" s="667"/>
      <c r="N11" s="669"/>
      <c r="O11" s="665"/>
      <c r="P11" s="666"/>
      <c r="Q11" s="667"/>
      <c r="R11" s="669"/>
      <c r="S11" s="665"/>
      <c r="T11" s="666"/>
      <c r="U11" s="667"/>
      <c r="V11" s="669"/>
    </row>
    <row r="12" spans="1:22" s="543" customFormat="1" ht="15">
      <c r="A12" s="661"/>
      <c r="B12" s="661"/>
      <c r="C12" s="661"/>
      <c r="D12" s="661"/>
      <c r="E12" s="661"/>
      <c r="F12" s="661"/>
      <c r="G12" s="139" t="s">
        <v>258</v>
      </c>
      <c r="H12" s="139" t="s">
        <v>37</v>
      </c>
      <c r="I12" s="227" t="s">
        <v>38</v>
      </c>
      <c r="J12" s="670"/>
      <c r="K12" s="139" t="s">
        <v>258</v>
      </c>
      <c r="L12" s="139" t="s">
        <v>37</v>
      </c>
      <c r="M12" s="139" t="s">
        <v>38</v>
      </c>
      <c r="N12" s="670"/>
      <c r="O12" s="139" t="s">
        <v>258</v>
      </c>
      <c r="P12" s="139" t="s">
        <v>37</v>
      </c>
      <c r="Q12" s="139" t="s">
        <v>38</v>
      </c>
      <c r="R12" s="670"/>
      <c r="S12" s="139" t="s">
        <v>258</v>
      </c>
      <c r="T12" s="139" t="s">
        <v>37</v>
      </c>
      <c r="U12" s="139" t="s">
        <v>38</v>
      </c>
      <c r="V12" s="670"/>
    </row>
    <row r="13" spans="1:22" s="543" customFormat="1" ht="15">
      <c r="A13" s="139">
        <v>1</v>
      </c>
      <c r="B13" s="139">
        <v>2</v>
      </c>
      <c r="C13" s="139">
        <v>3</v>
      </c>
      <c r="D13" s="139">
        <v>4</v>
      </c>
      <c r="E13" s="139">
        <v>5</v>
      </c>
      <c r="F13" s="139">
        <v>6</v>
      </c>
      <c r="G13" s="139">
        <v>7</v>
      </c>
      <c r="H13" s="139">
        <v>8</v>
      </c>
      <c r="I13" s="139">
        <v>9</v>
      </c>
      <c r="J13" s="139">
        <v>10</v>
      </c>
      <c r="K13" s="139">
        <v>11</v>
      </c>
      <c r="L13" s="139">
        <v>12</v>
      </c>
      <c r="M13" s="139">
        <v>13</v>
      </c>
      <c r="N13" s="139">
        <v>14</v>
      </c>
      <c r="O13" s="139">
        <v>15</v>
      </c>
      <c r="P13" s="139">
        <v>16</v>
      </c>
      <c r="Q13" s="139">
        <v>17</v>
      </c>
      <c r="R13" s="139">
        <v>18</v>
      </c>
      <c r="S13" s="139">
        <v>19</v>
      </c>
      <c r="T13" s="139">
        <v>20</v>
      </c>
      <c r="U13" s="139">
        <v>21</v>
      </c>
      <c r="V13" s="139">
        <v>22</v>
      </c>
    </row>
    <row r="14" spans="1:22" ht="15.75" customHeight="1">
      <c r="A14" s="659" t="s">
        <v>210</v>
      </c>
      <c r="B14" s="659"/>
      <c r="C14" s="220"/>
      <c r="D14" s="220"/>
      <c r="E14" s="220"/>
      <c r="F14" s="221"/>
      <c r="G14" s="220"/>
      <c r="H14" s="220"/>
      <c r="I14" s="220"/>
      <c r="J14" s="221"/>
      <c r="K14" s="220"/>
      <c r="L14" s="220"/>
      <c r="M14" s="220"/>
      <c r="N14" s="221"/>
      <c r="O14" s="221"/>
      <c r="P14" s="221"/>
      <c r="Q14" s="221"/>
      <c r="R14" s="221"/>
      <c r="S14" s="221"/>
      <c r="T14" s="221"/>
      <c r="U14" s="221"/>
      <c r="V14" s="221"/>
    </row>
    <row r="15" spans="1:22" ht="15">
      <c r="A15" s="138">
        <v>1</v>
      </c>
      <c r="B15" s="140" t="s">
        <v>209</v>
      </c>
      <c r="C15" s="374" t="s">
        <v>982</v>
      </c>
      <c r="D15" s="374">
        <v>1132.71</v>
      </c>
      <c r="E15" s="374">
        <v>2190.02</v>
      </c>
      <c r="F15" s="375" t="s">
        <v>823</v>
      </c>
      <c r="G15" s="374">
        <v>4372.34</v>
      </c>
      <c r="H15" s="374">
        <v>1132.71</v>
      </c>
      <c r="I15" s="374">
        <v>2190.02</v>
      </c>
      <c r="J15" s="375" t="s">
        <v>824</v>
      </c>
      <c r="K15" s="374">
        <v>4372.24</v>
      </c>
      <c r="L15" s="374">
        <v>1132.71</v>
      </c>
      <c r="M15" s="374">
        <v>2190.02</v>
      </c>
      <c r="N15" s="375" t="s">
        <v>825</v>
      </c>
      <c r="O15" s="222"/>
      <c r="P15" s="222"/>
      <c r="Q15" s="222"/>
      <c r="R15" s="222"/>
      <c r="S15" s="222"/>
      <c r="T15" s="222"/>
      <c r="U15" s="222"/>
      <c r="V15" s="222"/>
    </row>
    <row r="16" spans="1:22" ht="27" customHeight="1">
      <c r="A16" s="138">
        <v>2</v>
      </c>
      <c r="B16" s="140" t="s">
        <v>149</v>
      </c>
      <c r="C16" s="374">
        <v>5912.64</v>
      </c>
      <c r="D16" s="374">
        <v>1531.75</v>
      </c>
      <c r="E16" s="374">
        <v>2961.52</v>
      </c>
      <c r="F16" s="374" t="s">
        <v>826</v>
      </c>
      <c r="G16" s="374">
        <v>5912.64</v>
      </c>
      <c r="H16" s="374">
        <v>1531.75</v>
      </c>
      <c r="I16" s="374">
        <v>2961.52</v>
      </c>
      <c r="J16" s="374" t="s">
        <v>827</v>
      </c>
      <c r="K16" s="374">
        <v>5912.64</v>
      </c>
      <c r="L16" s="374">
        <v>1531.75</v>
      </c>
      <c r="M16" s="374">
        <v>2961.52</v>
      </c>
      <c r="N16" s="374" t="s">
        <v>998</v>
      </c>
      <c r="O16" s="222"/>
      <c r="P16" s="222"/>
      <c r="Q16" s="222"/>
      <c r="R16" s="222"/>
      <c r="S16" s="222"/>
      <c r="T16" s="222"/>
      <c r="U16" s="222"/>
      <c r="V16" s="222"/>
    </row>
    <row r="17" spans="1:22" ht="25.5">
      <c r="A17" s="138">
        <v>3</v>
      </c>
      <c r="B17" s="140" t="s">
        <v>828</v>
      </c>
      <c r="C17" s="374">
        <v>3475</v>
      </c>
      <c r="D17" s="374">
        <v>900.25</v>
      </c>
      <c r="E17" s="374">
        <v>1740.56</v>
      </c>
      <c r="F17" s="374" t="s">
        <v>829</v>
      </c>
      <c r="G17" s="374">
        <v>3475</v>
      </c>
      <c r="H17" s="374">
        <v>900.25</v>
      </c>
      <c r="I17" s="374">
        <v>1740.56</v>
      </c>
      <c r="J17" s="374" t="s">
        <v>864</v>
      </c>
      <c r="K17" s="376">
        <v>3475</v>
      </c>
      <c r="L17" s="377">
        <v>900.25</v>
      </c>
      <c r="M17" s="378">
        <v>1740.56</v>
      </c>
      <c r="N17" s="374" t="s">
        <v>955</v>
      </c>
      <c r="O17" s="222"/>
      <c r="P17" s="222"/>
      <c r="Q17" s="222"/>
      <c r="R17" s="222"/>
      <c r="S17" s="222"/>
      <c r="T17" s="222"/>
      <c r="U17" s="222"/>
      <c r="V17" s="222"/>
    </row>
    <row r="18" spans="1:22" ht="15" customHeight="1">
      <c r="A18" s="138">
        <v>4</v>
      </c>
      <c r="B18" s="140" t="s">
        <v>951</v>
      </c>
      <c r="C18" s="374">
        <v>3475</v>
      </c>
      <c r="D18" s="374">
        <v>900.2399999999999</v>
      </c>
      <c r="E18" s="374">
        <v>1740.5600000000002</v>
      </c>
      <c r="F18" s="374" t="s">
        <v>953</v>
      </c>
      <c r="G18" s="374">
        <v>3075.06</v>
      </c>
      <c r="H18" s="374">
        <v>900.24</v>
      </c>
      <c r="I18" s="374">
        <v>1740.5600000000002</v>
      </c>
      <c r="J18" s="374" t="s">
        <v>952</v>
      </c>
      <c r="K18" s="374">
        <v>3075.06</v>
      </c>
      <c r="L18" s="374">
        <v>900.2399999999999</v>
      </c>
      <c r="M18" s="374">
        <v>1740.5600000000002</v>
      </c>
      <c r="N18" s="374" t="s">
        <v>954</v>
      </c>
      <c r="O18" s="222"/>
      <c r="P18" s="222"/>
      <c r="Q18" s="222"/>
      <c r="R18" s="222"/>
      <c r="S18" s="222"/>
      <c r="T18" s="222"/>
      <c r="U18" s="222"/>
      <c r="V18" s="222"/>
    </row>
    <row r="19" spans="1:22" ht="15">
      <c r="A19" s="659" t="s">
        <v>211</v>
      </c>
      <c r="B19" s="659"/>
      <c r="C19" s="222"/>
      <c r="D19" s="222"/>
      <c r="E19" s="222"/>
      <c r="F19" s="222"/>
      <c r="G19" s="222"/>
      <c r="H19" s="222"/>
      <c r="I19" s="222"/>
      <c r="J19" s="222"/>
      <c r="K19" s="222"/>
      <c r="L19" s="222"/>
      <c r="M19" s="222"/>
      <c r="N19" s="222"/>
      <c r="O19" s="222"/>
      <c r="P19" s="222"/>
      <c r="Q19" s="222"/>
      <c r="R19" s="222"/>
      <c r="S19" s="222"/>
      <c r="T19" s="222"/>
      <c r="U19" s="222"/>
      <c r="V19" s="222"/>
    </row>
    <row r="20" spans="1:22" ht="15">
      <c r="A20" s="138">
        <v>4</v>
      </c>
      <c r="B20" s="140" t="s">
        <v>198</v>
      </c>
      <c r="C20" s="222"/>
      <c r="D20" s="222"/>
      <c r="E20" s="222"/>
      <c r="F20" s="222"/>
      <c r="G20" s="222"/>
      <c r="H20" s="222"/>
      <c r="I20" s="222"/>
      <c r="J20" s="222"/>
      <c r="K20" s="222"/>
      <c r="L20" s="222"/>
      <c r="M20" s="222"/>
      <c r="N20" s="222"/>
      <c r="O20" s="222"/>
      <c r="P20" s="222"/>
      <c r="Q20" s="222"/>
      <c r="R20" s="222"/>
      <c r="S20" s="222"/>
      <c r="T20" s="222"/>
      <c r="U20" s="222"/>
      <c r="V20" s="222"/>
    </row>
    <row r="21" spans="1:22" ht="15">
      <c r="A21" s="138">
        <v>5</v>
      </c>
      <c r="B21" s="140" t="s">
        <v>128</v>
      </c>
      <c r="C21" s="222"/>
      <c r="D21" s="222"/>
      <c r="E21" s="222"/>
      <c r="F21" s="222"/>
      <c r="G21" s="222"/>
      <c r="H21" s="222"/>
      <c r="I21" s="222"/>
      <c r="J21" s="222"/>
      <c r="K21" s="222"/>
      <c r="L21" s="222"/>
      <c r="M21" s="222"/>
      <c r="N21" s="222"/>
      <c r="O21" s="222"/>
      <c r="P21" s="222"/>
      <c r="Q21" s="222"/>
      <c r="R21" s="222"/>
      <c r="S21" s="222"/>
      <c r="T21" s="222"/>
      <c r="U21" s="222"/>
      <c r="V21" s="222"/>
    </row>
    <row r="24" spans="1:22" ht="14.25">
      <c r="A24" s="660" t="s">
        <v>161</v>
      </c>
      <c r="B24" s="660"/>
      <c r="C24" s="660"/>
      <c r="D24" s="660"/>
      <c r="E24" s="660"/>
      <c r="F24" s="660"/>
      <c r="G24" s="660"/>
      <c r="H24" s="660"/>
      <c r="I24" s="660"/>
      <c r="J24" s="660"/>
      <c r="K24" s="660"/>
      <c r="L24" s="660"/>
      <c r="M24" s="660"/>
      <c r="N24" s="660"/>
      <c r="O24" s="660"/>
      <c r="P24" s="660"/>
      <c r="Q24" s="660"/>
      <c r="R24" s="660"/>
      <c r="S24" s="660"/>
      <c r="T24" s="660"/>
      <c r="U24" s="660"/>
      <c r="V24" s="660"/>
    </row>
    <row r="25" spans="1:22" ht="14.25">
      <c r="A25" s="141"/>
      <c r="B25" s="141"/>
      <c r="C25" s="141"/>
      <c r="D25" s="141"/>
      <c r="E25" s="141"/>
      <c r="F25" s="141"/>
      <c r="G25" s="141"/>
      <c r="H25" s="141"/>
      <c r="I25" s="141"/>
      <c r="J25" s="141"/>
      <c r="K25" s="141"/>
      <c r="L25" s="141"/>
      <c r="M25" s="141"/>
      <c r="N25" s="141"/>
      <c r="O25" s="141"/>
      <c r="P25" s="141"/>
      <c r="Q25" s="141"/>
      <c r="R25" s="141"/>
      <c r="S25" s="141"/>
      <c r="T25" s="141"/>
      <c r="U25" s="141"/>
      <c r="V25" s="141"/>
    </row>
    <row r="26" spans="1:18" ht="12.75">
      <c r="A26" s="121"/>
      <c r="B26" s="121"/>
      <c r="C26" s="121"/>
      <c r="D26" s="121"/>
      <c r="E26" s="121"/>
      <c r="F26" s="121"/>
      <c r="G26" s="121"/>
      <c r="H26" s="121"/>
      <c r="I26" s="121"/>
      <c r="J26" s="121"/>
      <c r="K26" s="121"/>
      <c r="L26" s="121"/>
      <c r="M26" s="121"/>
      <c r="N26" s="121"/>
      <c r="O26" s="121"/>
      <c r="P26" s="121"/>
      <c r="Q26" s="121"/>
      <c r="R26" s="121"/>
    </row>
    <row r="27" spans="1:22" ht="15.75">
      <c r="A27" s="76"/>
      <c r="B27" s="76"/>
      <c r="C27" s="76"/>
      <c r="D27" s="76"/>
      <c r="E27" s="76"/>
      <c r="F27" s="76"/>
      <c r="G27" s="76"/>
      <c r="H27" s="76"/>
      <c r="I27" s="76"/>
      <c r="J27" s="76"/>
      <c r="K27" s="76"/>
      <c r="L27" s="76"/>
      <c r="M27" s="76"/>
      <c r="N27" s="103"/>
      <c r="O27" s="103"/>
      <c r="P27" s="103"/>
      <c r="Q27" s="103"/>
      <c r="R27" s="103"/>
      <c r="S27" s="103"/>
      <c r="T27" s="103"/>
      <c r="U27" s="103"/>
      <c r="V27" s="103"/>
    </row>
    <row r="28" spans="1:22" ht="15.75" customHeight="1">
      <c r="A28" s="103"/>
      <c r="B28" s="358" t="s">
        <v>989</v>
      </c>
      <c r="D28" s="359"/>
      <c r="E28" s="359"/>
      <c r="F28" s="241"/>
      <c r="G28" s="358"/>
      <c r="H28" s="358"/>
      <c r="I28" s="559" t="s">
        <v>990</v>
      </c>
      <c r="J28" s="559"/>
      <c r="K28" s="559"/>
      <c r="L28" s="241"/>
      <c r="M28" s="358"/>
      <c r="N28" s="358"/>
      <c r="O28" s="358"/>
      <c r="P28" s="559" t="s">
        <v>996</v>
      </c>
      <c r="Q28" s="559"/>
      <c r="R28" s="559"/>
      <c r="S28" s="559"/>
      <c r="T28" s="103"/>
      <c r="U28" s="103"/>
      <c r="V28" s="103"/>
    </row>
    <row r="29" spans="1:22" ht="15.75" customHeight="1">
      <c r="A29" s="103"/>
      <c r="B29" s="358" t="s">
        <v>991</v>
      </c>
      <c r="D29" s="359"/>
      <c r="E29" s="359"/>
      <c r="F29" s="241"/>
      <c r="G29" s="358"/>
      <c r="H29" s="358"/>
      <c r="I29" s="559" t="s">
        <v>992</v>
      </c>
      <c r="J29" s="559"/>
      <c r="K29" s="559"/>
      <c r="L29" s="241"/>
      <c r="M29" s="358"/>
      <c r="N29" s="358"/>
      <c r="O29" s="358"/>
      <c r="P29" s="559" t="s">
        <v>993</v>
      </c>
      <c r="Q29" s="559"/>
      <c r="R29" s="559"/>
      <c r="S29" s="559"/>
      <c r="T29" s="103"/>
      <c r="U29" s="103"/>
      <c r="V29" s="103"/>
    </row>
    <row r="30" spans="1:24" ht="12.75" customHeight="1">
      <c r="A30" s="121"/>
      <c r="B30" s="358" t="s">
        <v>994</v>
      </c>
      <c r="D30" s="359"/>
      <c r="E30" s="359"/>
      <c r="F30" s="241"/>
      <c r="G30" s="358"/>
      <c r="H30" s="358"/>
      <c r="I30" s="559" t="s">
        <v>995</v>
      </c>
      <c r="J30" s="559"/>
      <c r="K30" s="559"/>
      <c r="L30" s="241"/>
      <c r="M30" s="358"/>
      <c r="N30" s="358"/>
      <c r="O30" s="358"/>
      <c r="P30" s="559" t="s">
        <v>995</v>
      </c>
      <c r="Q30" s="559"/>
      <c r="R30" s="559"/>
      <c r="S30" s="559"/>
      <c r="V30" s="353"/>
      <c r="W30" s="353"/>
      <c r="X30" s="353"/>
    </row>
  </sheetData>
  <sheetProtection/>
  <mergeCells count="36">
    <mergeCell ref="D9:D12"/>
    <mergeCell ref="E9:E12"/>
    <mergeCell ref="V10:V12"/>
    <mergeCell ref="S10:U11"/>
    <mergeCell ref="K9:N9"/>
    <mergeCell ref="O9:R9"/>
    <mergeCell ref="S9:V9"/>
    <mergeCell ref="R10:R12"/>
    <mergeCell ref="O10:Q11"/>
    <mergeCell ref="C9:C12"/>
    <mergeCell ref="G9:J9"/>
    <mergeCell ref="U6:V6"/>
    <mergeCell ref="A7:B7"/>
    <mergeCell ref="O7:V7"/>
    <mergeCell ref="O8:V8"/>
    <mergeCell ref="A8:A12"/>
    <mergeCell ref="B8:B12"/>
    <mergeCell ref="C8:E8"/>
    <mergeCell ref="F8:F12"/>
    <mergeCell ref="I28:K28"/>
    <mergeCell ref="P28:S28"/>
    <mergeCell ref="G8:N8"/>
    <mergeCell ref="G10:I11"/>
    <mergeCell ref="J10:J12"/>
    <mergeCell ref="K10:M11"/>
    <mergeCell ref="N10:N12"/>
    <mergeCell ref="I29:K29"/>
    <mergeCell ref="P29:S29"/>
    <mergeCell ref="I30:K30"/>
    <mergeCell ref="P30:S30"/>
    <mergeCell ref="A2:V2"/>
    <mergeCell ref="A3:V3"/>
    <mergeCell ref="A5:V5"/>
    <mergeCell ref="A14:B14"/>
    <mergeCell ref="A19:B19"/>
    <mergeCell ref="A24:V2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5"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tabColor rgb="FF92D050"/>
    <pageSetUpPr fitToPage="1"/>
  </sheetPr>
  <dimension ref="A1:Q46"/>
  <sheetViews>
    <sheetView view="pageBreakPreview" zoomScaleNormal="70" zoomScaleSheetLayoutView="100" zoomScalePageLayoutView="0" workbookViewId="0" topLeftCell="A1">
      <selection activeCell="W53" sqref="W53"/>
    </sheetView>
  </sheetViews>
  <sheetFormatPr defaultColWidth="9.140625" defaultRowHeight="12.75"/>
  <cols>
    <col min="1" max="1" width="5.57421875" style="239" customWidth="1"/>
    <col min="2" max="2" width="18.421875" style="239" customWidth="1"/>
    <col min="3" max="3" width="10.28125" style="239" customWidth="1"/>
    <col min="4" max="4" width="12.8515625" style="239" customWidth="1"/>
    <col min="5" max="5" width="8.7109375" style="239" customWidth="1"/>
    <col min="6" max="7" width="8.00390625" style="239" customWidth="1"/>
    <col min="8" max="10" width="8.140625" style="239" customWidth="1"/>
    <col min="11" max="11" width="8.421875" style="239" customWidth="1"/>
    <col min="12" max="12" width="8.140625" style="239" customWidth="1"/>
    <col min="13" max="13" width="11.28125" style="239" customWidth="1"/>
    <col min="14" max="14" width="11.8515625" style="239" customWidth="1"/>
    <col min="15" max="16384" width="9.140625" style="239" customWidth="1"/>
  </cols>
  <sheetData>
    <row r="1" spans="4:14" ht="12.75" customHeight="1">
      <c r="D1" s="932"/>
      <c r="E1" s="932"/>
      <c r="M1" s="933" t="s">
        <v>736</v>
      </c>
      <c r="N1" s="933"/>
    </row>
    <row r="2" spans="1:14" ht="15.75">
      <c r="A2" s="930" t="s">
        <v>0</v>
      </c>
      <c r="B2" s="930"/>
      <c r="C2" s="930"/>
      <c r="D2" s="930"/>
      <c r="E2" s="930"/>
      <c r="F2" s="930"/>
      <c r="G2" s="930"/>
      <c r="H2" s="930"/>
      <c r="I2" s="930"/>
      <c r="J2" s="930"/>
      <c r="K2" s="930"/>
      <c r="L2" s="930"/>
      <c r="M2" s="930"/>
      <c r="N2" s="930"/>
    </row>
    <row r="3" spans="1:14" ht="18">
      <c r="A3" s="931" t="s">
        <v>645</v>
      </c>
      <c r="B3" s="931"/>
      <c r="C3" s="931"/>
      <c r="D3" s="931"/>
      <c r="E3" s="931"/>
      <c r="F3" s="931"/>
      <c r="G3" s="931"/>
      <c r="H3" s="931"/>
      <c r="I3" s="931"/>
      <c r="J3" s="931"/>
      <c r="K3" s="931"/>
      <c r="L3" s="931"/>
      <c r="M3" s="931"/>
      <c r="N3" s="931"/>
    </row>
    <row r="4" spans="1:14" ht="12.75">
      <c r="A4" s="947" t="s">
        <v>733</v>
      </c>
      <c r="B4" s="947"/>
      <c r="C4" s="947"/>
      <c r="D4" s="947"/>
      <c r="E4" s="947"/>
      <c r="F4" s="947"/>
      <c r="G4" s="947"/>
      <c r="H4" s="947"/>
      <c r="I4" s="947"/>
      <c r="J4" s="947"/>
      <c r="K4" s="947"/>
      <c r="L4" s="947"/>
      <c r="M4" s="947"/>
      <c r="N4" s="947"/>
    </row>
    <row r="5" spans="1:14" ht="12.75">
      <c r="A5" s="924"/>
      <c r="B5" s="924"/>
      <c r="C5" s="924"/>
      <c r="D5" s="924"/>
      <c r="E5" s="924"/>
      <c r="F5" s="924"/>
      <c r="G5" s="924"/>
      <c r="H5" s="924"/>
      <c r="I5" s="924"/>
      <c r="J5" s="924"/>
      <c r="K5" s="924"/>
      <c r="L5" s="924"/>
      <c r="M5" s="924"/>
      <c r="N5" s="924"/>
    </row>
    <row r="6" spans="1:14" ht="12.75">
      <c r="A6" s="926" t="s">
        <v>157</v>
      </c>
      <c r="B6" s="926"/>
      <c r="D6" s="285"/>
      <c r="H6" s="925"/>
      <c r="I6" s="925"/>
      <c r="J6" s="925"/>
      <c r="K6" s="925"/>
      <c r="L6" s="925"/>
      <c r="M6" s="925"/>
      <c r="N6" s="925"/>
    </row>
    <row r="7" spans="1:14" ht="24.75" customHeight="1">
      <c r="A7" s="738" t="s">
        <v>1</v>
      </c>
      <c r="B7" s="738" t="s">
        <v>2</v>
      </c>
      <c r="C7" s="934" t="s">
        <v>494</v>
      </c>
      <c r="D7" s="927" t="s">
        <v>78</v>
      </c>
      <c r="E7" s="740" t="s">
        <v>79</v>
      </c>
      <c r="F7" s="741"/>
      <c r="G7" s="741"/>
      <c r="H7" s="742"/>
      <c r="I7" s="740" t="s">
        <v>726</v>
      </c>
      <c r="J7" s="741"/>
      <c r="K7" s="741"/>
      <c r="L7" s="741"/>
      <c r="M7" s="741"/>
      <c r="N7" s="741"/>
    </row>
    <row r="8" spans="1:14" ht="44.25" customHeight="1">
      <c r="A8" s="738"/>
      <c r="B8" s="738"/>
      <c r="C8" s="935"/>
      <c r="D8" s="928"/>
      <c r="E8" s="22" t="s">
        <v>177</v>
      </c>
      <c r="F8" s="22" t="s">
        <v>110</v>
      </c>
      <c r="G8" s="22" t="s">
        <v>111</v>
      </c>
      <c r="H8" s="22" t="s">
        <v>442</v>
      </c>
      <c r="I8" s="22" t="s">
        <v>13</v>
      </c>
      <c r="J8" s="22" t="s">
        <v>727</v>
      </c>
      <c r="K8" s="22" t="s">
        <v>728</v>
      </c>
      <c r="L8" s="22" t="s">
        <v>729</v>
      </c>
      <c r="M8" s="22" t="s">
        <v>730</v>
      </c>
      <c r="N8" s="22" t="s">
        <v>731</v>
      </c>
    </row>
    <row r="9" spans="1:14" s="238" customFormat="1" ht="12.75">
      <c r="A9" s="22">
        <v>1</v>
      </c>
      <c r="B9" s="22">
        <v>2</v>
      </c>
      <c r="C9" s="22">
        <v>3</v>
      </c>
      <c r="D9" s="22">
        <v>8</v>
      </c>
      <c r="E9" s="22">
        <v>9</v>
      </c>
      <c r="F9" s="22">
        <v>10</v>
      </c>
      <c r="G9" s="22">
        <v>11</v>
      </c>
      <c r="H9" s="22">
        <v>12</v>
      </c>
      <c r="I9" s="22">
        <v>13</v>
      </c>
      <c r="J9" s="22">
        <v>14</v>
      </c>
      <c r="K9" s="22">
        <v>15</v>
      </c>
      <c r="L9" s="22">
        <v>16</v>
      </c>
      <c r="M9" s="22">
        <v>17</v>
      </c>
      <c r="N9" s="22">
        <v>18</v>
      </c>
    </row>
    <row r="10" spans="1:14" ht="12.75">
      <c r="A10" s="286">
        <v>1</v>
      </c>
      <c r="B10" s="224" t="s">
        <v>831</v>
      </c>
      <c r="C10" s="936" t="s">
        <v>874</v>
      </c>
      <c r="D10" s="937"/>
      <c r="E10" s="937"/>
      <c r="F10" s="937"/>
      <c r="G10" s="937"/>
      <c r="H10" s="937"/>
      <c r="I10" s="937"/>
      <c r="J10" s="937"/>
      <c r="K10" s="937"/>
      <c r="L10" s="937"/>
      <c r="M10" s="937"/>
      <c r="N10" s="938"/>
    </row>
    <row r="11" spans="1:14" ht="12.75">
      <c r="A11" s="286">
        <v>2</v>
      </c>
      <c r="B11" s="224" t="s">
        <v>832</v>
      </c>
      <c r="C11" s="939"/>
      <c r="D11" s="940"/>
      <c r="E11" s="940"/>
      <c r="F11" s="940"/>
      <c r="G11" s="940"/>
      <c r="H11" s="940"/>
      <c r="I11" s="940"/>
      <c r="J11" s="940"/>
      <c r="K11" s="940"/>
      <c r="L11" s="940"/>
      <c r="M11" s="940"/>
      <c r="N11" s="941"/>
    </row>
    <row r="12" spans="1:14" ht="12.75">
      <c r="A12" s="286">
        <v>3</v>
      </c>
      <c r="B12" s="224" t="s">
        <v>833</v>
      </c>
      <c r="C12" s="939"/>
      <c r="D12" s="940"/>
      <c r="E12" s="940"/>
      <c r="F12" s="940"/>
      <c r="G12" s="940"/>
      <c r="H12" s="940"/>
      <c r="I12" s="940"/>
      <c r="J12" s="940"/>
      <c r="K12" s="940"/>
      <c r="L12" s="940"/>
      <c r="M12" s="940"/>
      <c r="N12" s="941"/>
    </row>
    <row r="13" spans="1:14" ht="12.75">
      <c r="A13" s="286">
        <v>4</v>
      </c>
      <c r="B13" s="224" t="s">
        <v>834</v>
      </c>
      <c r="C13" s="939"/>
      <c r="D13" s="940"/>
      <c r="E13" s="940"/>
      <c r="F13" s="940"/>
      <c r="G13" s="940"/>
      <c r="H13" s="940"/>
      <c r="I13" s="940"/>
      <c r="J13" s="940"/>
      <c r="K13" s="940"/>
      <c r="L13" s="940"/>
      <c r="M13" s="940"/>
      <c r="N13" s="941"/>
    </row>
    <row r="14" spans="1:14" ht="12.75">
      <c r="A14" s="286">
        <v>5</v>
      </c>
      <c r="B14" s="224" t="s">
        <v>835</v>
      </c>
      <c r="C14" s="939"/>
      <c r="D14" s="940"/>
      <c r="E14" s="940"/>
      <c r="F14" s="940"/>
      <c r="G14" s="940"/>
      <c r="H14" s="940"/>
      <c r="I14" s="940"/>
      <c r="J14" s="940"/>
      <c r="K14" s="940"/>
      <c r="L14" s="940"/>
      <c r="M14" s="940"/>
      <c r="N14" s="941"/>
    </row>
    <row r="15" spans="1:14" ht="12.75">
      <c r="A15" s="286">
        <v>6</v>
      </c>
      <c r="B15" s="224" t="s">
        <v>836</v>
      </c>
      <c r="C15" s="939"/>
      <c r="D15" s="940"/>
      <c r="E15" s="940"/>
      <c r="F15" s="940"/>
      <c r="G15" s="940"/>
      <c r="H15" s="940"/>
      <c r="I15" s="940"/>
      <c r="J15" s="940"/>
      <c r="K15" s="940"/>
      <c r="L15" s="940"/>
      <c r="M15" s="940"/>
      <c r="N15" s="941"/>
    </row>
    <row r="16" spans="1:14" ht="12.75">
      <c r="A16" s="286">
        <v>7</v>
      </c>
      <c r="B16" s="224" t="s">
        <v>837</v>
      </c>
      <c r="C16" s="939"/>
      <c r="D16" s="940"/>
      <c r="E16" s="940"/>
      <c r="F16" s="940"/>
      <c r="G16" s="940"/>
      <c r="H16" s="940"/>
      <c r="I16" s="940"/>
      <c r="J16" s="940"/>
      <c r="K16" s="940"/>
      <c r="L16" s="940"/>
      <c r="M16" s="940"/>
      <c r="N16" s="941"/>
    </row>
    <row r="17" spans="1:14" ht="12.75">
      <c r="A17" s="286">
        <v>8</v>
      </c>
      <c r="B17" s="224" t="s">
        <v>838</v>
      </c>
      <c r="C17" s="939"/>
      <c r="D17" s="940"/>
      <c r="E17" s="940"/>
      <c r="F17" s="940"/>
      <c r="G17" s="940"/>
      <c r="H17" s="940"/>
      <c r="I17" s="940"/>
      <c r="J17" s="940"/>
      <c r="K17" s="940"/>
      <c r="L17" s="940"/>
      <c r="M17" s="940"/>
      <c r="N17" s="941"/>
    </row>
    <row r="18" spans="1:14" ht="12.75">
      <c r="A18" s="286">
        <v>9</v>
      </c>
      <c r="B18" s="224" t="s">
        <v>839</v>
      </c>
      <c r="C18" s="939"/>
      <c r="D18" s="940"/>
      <c r="E18" s="940"/>
      <c r="F18" s="940"/>
      <c r="G18" s="940"/>
      <c r="H18" s="940"/>
      <c r="I18" s="940"/>
      <c r="J18" s="940"/>
      <c r="K18" s="940"/>
      <c r="L18" s="940"/>
      <c r="M18" s="940"/>
      <c r="N18" s="941"/>
    </row>
    <row r="19" spans="1:14" ht="12.75">
      <c r="A19" s="286">
        <v>10</v>
      </c>
      <c r="B19" s="224" t="s">
        <v>840</v>
      </c>
      <c r="C19" s="939"/>
      <c r="D19" s="940"/>
      <c r="E19" s="940"/>
      <c r="F19" s="940"/>
      <c r="G19" s="940"/>
      <c r="H19" s="940"/>
      <c r="I19" s="940"/>
      <c r="J19" s="940"/>
      <c r="K19" s="940"/>
      <c r="L19" s="940"/>
      <c r="M19" s="940"/>
      <c r="N19" s="941"/>
    </row>
    <row r="20" spans="1:14" ht="12.75">
      <c r="A20" s="286">
        <v>11</v>
      </c>
      <c r="B20" s="224" t="s">
        <v>841</v>
      </c>
      <c r="C20" s="939"/>
      <c r="D20" s="940"/>
      <c r="E20" s="940"/>
      <c r="F20" s="940"/>
      <c r="G20" s="940"/>
      <c r="H20" s="940"/>
      <c r="I20" s="940"/>
      <c r="J20" s="940"/>
      <c r="K20" s="940"/>
      <c r="L20" s="940"/>
      <c r="M20" s="940"/>
      <c r="N20" s="941"/>
    </row>
    <row r="21" spans="1:14" ht="12.75">
      <c r="A21" s="286">
        <v>12</v>
      </c>
      <c r="B21" s="224" t="s">
        <v>842</v>
      </c>
      <c r="C21" s="939"/>
      <c r="D21" s="940"/>
      <c r="E21" s="940"/>
      <c r="F21" s="940"/>
      <c r="G21" s="940"/>
      <c r="H21" s="940"/>
      <c r="I21" s="940"/>
      <c r="J21" s="940"/>
      <c r="K21" s="940"/>
      <c r="L21" s="940"/>
      <c r="M21" s="940"/>
      <c r="N21" s="941"/>
    </row>
    <row r="22" spans="1:14" ht="12.75">
      <c r="A22" s="286">
        <v>13</v>
      </c>
      <c r="B22" s="224" t="s">
        <v>843</v>
      </c>
      <c r="C22" s="939"/>
      <c r="D22" s="940"/>
      <c r="E22" s="940"/>
      <c r="F22" s="940"/>
      <c r="G22" s="940"/>
      <c r="H22" s="940"/>
      <c r="I22" s="940"/>
      <c r="J22" s="940"/>
      <c r="K22" s="940"/>
      <c r="L22" s="940"/>
      <c r="M22" s="940"/>
      <c r="N22" s="941"/>
    </row>
    <row r="23" spans="1:14" ht="12.75">
      <c r="A23" s="286">
        <v>14</v>
      </c>
      <c r="B23" s="224" t="s">
        <v>844</v>
      </c>
      <c r="C23" s="939"/>
      <c r="D23" s="940"/>
      <c r="E23" s="940"/>
      <c r="F23" s="940"/>
      <c r="G23" s="940"/>
      <c r="H23" s="940"/>
      <c r="I23" s="940"/>
      <c r="J23" s="940"/>
      <c r="K23" s="940"/>
      <c r="L23" s="940"/>
      <c r="M23" s="940"/>
      <c r="N23" s="941"/>
    </row>
    <row r="24" spans="1:14" ht="12.75">
      <c r="A24" s="286">
        <v>15</v>
      </c>
      <c r="B24" s="224" t="s">
        <v>845</v>
      </c>
      <c r="C24" s="939"/>
      <c r="D24" s="940"/>
      <c r="E24" s="940"/>
      <c r="F24" s="940"/>
      <c r="G24" s="940"/>
      <c r="H24" s="940"/>
      <c r="I24" s="940"/>
      <c r="J24" s="940"/>
      <c r="K24" s="940"/>
      <c r="L24" s="940"/>
      <c r="M24" s="940"/>
      <c r="N24" s="941"/>
    </row>
    <row r="25" spans="1:14" ht="12.75">
      <c r="A25" s="286">
        <v>16</v>
      </c>
      <c r="B25" s="224" t="s">
        <v>846</v>
      </c>
      <c r="C25" s="939"/>
      <c r="D25" s="940"/>
      <c r="E25" s="940"/>
      <c r="F25" s="940"/>
      <c r="G25" s="940"/>
      <c r="H25" s="940"/>
      <c r="I25" s="940"/>
      <c r="J25" s="940"/>
      <c r="K25" s="940"/>
      <c r="L25" s="940"/>
      <c r="M25" s="940"/>
      <c r="N25" s="941"/>
    </row>
    <row r="26" spans="1:14" ht="12.75">
      <c r="A26" s="286">
        <v>17</v>
      </c>
      <c r="B26" s="224" t="s">
        <v>847</v>
      </c>
      <c r="C26" s="939"/>
      <c r="D26" s="940"/>
      <c r="E26" s="940"/>
      <c r="F26" s="940"/>
      <c r="G26" s="940"/>
      <c r="H26" s="940"/>
      <c r="I26" s="940"/>
      <c r="J26" s="940"/>
      <c r="K26" s="940"/>
      <c r="L26" s="940"/>
      <c r="M26" s="940"/>
      <c r="N26" s="941"/>
    </row>
    <row r="27" spans="1:14" ht="12.75">
      <c r="A27" s="286">
        <v>18</v>
      </c>
      <c r="B27" s="224" t="s">
        <v>848</v>
      </c>
      <c r="C27" s="939"/>
      <c r="D27" s="940"/>
      <c r="E27" s="940"/>
      <c r="F27" s="940"/>
      <c r="G27" s="940"/>
      <c r="H27" s="940"/>
      <c r="I27" s="940"/>
      <c r="J27" s="940"/>
      <c r="K27" s="940"/>
      <c r="L27" s="940"/>
      <c r="M27" s="940"/>
      <c r="N27" s="941"/>
    </row>
    <row r="28" spans="1:14" ht="12.75">
      <c r="A28" s="286">
        <v>19</v>
      </c>
      <c r="B28" s="224" t="s">
        <v>849</v>
      </c>
      <c r="C28" s="939"/>
      <c r="D28" s="940"/>
      <c r="E28" s="940"/>
      <c r="F28" s="940"/>
      <c r="G28" s="940"/>
      <c r="H28" s="940"/>
      <c r="I28" s="940"/>
      <c r="J28" s="940"/>
      <c r="K28" s="940"/>
      <c r="L28" s="940"/>
      <c r="M28" s="940"/>
      <c r="N28" s="941"/>
    </row>
    <row r="29" spans="1:14" ht="12.75">
      <c r="A29" s="286">
        <v>20</v>
      </c>
      <c r="B29" s="224" t="s">
        <v>850</v>
      </c>
      <c r="C29" s="939"/>
      <c r="D29" s="940"/>
      <c r="E29" s="940"/>
      <c r="F29" s="940"/>
      <c r="G29" s="940"/>
      <c r="H29" s="940"/>
      <c r="I29" s="940"/>
      <c r="J29" s="940"/>
      <c r="K29" s="940"/>
      <c r="L29" s="940"/>
      <c r="M29" s="940"/>
      <c r="N29" s="941"/>
    </row>
    <row r="30" spans="1:14" ht="12.75">
      <c r="A30" s="286">
        <v>21</v>
      </c>
      <c r="B30" s="224" t="s">
        <v>851</v>
      </c>
      <c r="C30" s="939"/>
      <c r="D30" s="940"/>
      <c r="E30" s="940"/>
      <c r="F30" s="940"/>
      <c r="G30" s="940"/>
      <c r="H30" s="940"/>
      <c r="I30" s="940"/>
      <c r="J30" s="940"/>
      <c r="K30" s="940"/>
      <c r="L30" s="940"/>
      <c r="M30" s="940"/>
      <c r="N30" s="941"/>
    </row>
    <row r="31" spans="1:14" ht="12.75">
      <c r="A31" s="286">
        <v>22</v>
      </c>
      <c r="B31" s="224" t="s">
        <v>852</v>
      </c>
      <c r="C31" s="939"/>
      <c r="D31" s="940"/>
      <c r="E31" s="940"/>
      <c r="F31" s="940"/>
      <c r="G31" s="940"/>
      <c r="H31" s="940"/>
      <c r="I31" s="940"/>
      <c r="J31" s="940"/>
      <c r="K31" s="940"/>
      <c r="L31" s="940"/>
      <c r="M31" s="940"/>
      <c r="N31" s="941"/>
    </row>
    <row r="32" spans="1:14" ht="12.75">
      <c r="A32" s="286">
        <v>23</v>
      </c>
      <c r="B32" s="224" t="s">
        <v>853</v>
      </c>
      <c r="C32" s="939"/>
      <c r="D32" s="940"/>
      <c r="E32" s="940"/>
      <c r="F32" s="940"/>
      <c r="G32" s="940"/>
      <c r="H32" s="940"/>
      <c r="I32" s="940"/>
      <c r="J32" s="940"/>
      <c r="K32" s="940"/>
      <c r="L32" s="940"/>
      <c r="M32" s="940"/>
      <c r="N32" s="941"/>
    </row>
    <row r="33" spans="1:14" ht="12.75">
      <c r="A33" s="286">
        <v>24</v>
      </c>
      <c r="B33" s="224" t="s">
        <v>854</v>
      </c>
      <c r="C33" s="939"/>
      <c r="D33" s="940"/>
      <c r="E33" s="940"/>
      <c r="F33" s="940"/>
      <c r="G33" s="940"/>
      <c r="H33" s="940"/>
      <c r="I33" s="940"/>
      <c r="J33" s="940"/>
      <c r="K33" s="940"/>
      <c r="L33" s="940"/>
      <c r="M33" s="940"/>
      <c r="N33" s="941"/>
    </row>
    <row r="34" spans="1:14" ht="12.75">
      <c r="A34" s="945" t="s">
        <v>860</v>
      </c>
      <c r="B34" s="946"/>
      <c r="C34" s="942"/>
      <c r="D34" s="943"/>
      <c r="E34" s="943"/>
      <c r="F34" s="943"/>
      <c r="G34" s="943"/>
      <c r="H34" s="943"/>
      <c r="I34" s="943"/>
      <c r="J34" s="943"/>
      <c r="K34" s="943"/>
      <c r="L34" s="943"/>
      <c r="M34" s="943"/>
      <c r="N34" s="944"/>
    </row>
    <row r="35" spans="1:4" ht="12.75">
      <c r="A35" s="288"/>
      <c r="B35" s="288"/>
      <c r="C35" s="288"/>
      <c r="D35" s="288"/>
    </row>
    <row r="36" spans="1:4" ht="12.75">
      <c r="A36" s="289" t="s">
        <v>6</v>
      </c>
      <c r="B36" s="290"/>
      <c r="C36" s="290"/>
      <c r="D36" s="288"/>
    </row>
    <row r="37" spans="1:3" ht="12.75">
      <c r="A37" s="238" t="s">
        <v>7</v>
      </c>
      <c r="B37" s="238"/>
      <c r="C37" s="238"/>
    </row>
    <row r="38" spans="1:3" ht="12.75">
      <c r="A38" s="238" t="s">
        <v>8</v>
      </c>
      <c r="B38" s="238"/>
      <c r="C38" s="238"/>
    </row>
    <row r="39" spans="1:3" ht="12.75">
      <c r="A39" s="238"/>
      <c r="B39" s="238"/>
      <c r="C39" s="238"/>
    </row>
    <row r="40" spans="1:3" ht="12.75">
      <c r="A40" s="238"/>
      <c r="B40" s="238"/>
      <c r="C40" s="238"/>
    </row>
    <row r="41" spans="1:14" ht="12.75">
      <c r="A41" s="238"/>
      <c r="D41" s="238"/>
      <c r="F41" s="238"/>
      <c r="G41" s="238"/>
      <c r="H41" s="238"/>
      <c r="I41" s="238"/>
      <c r="J41" s="238"/>
      <c r="K41" s="238"/>
      <c r="L41" s="238"/>
      <c r="M41" s="238"/>
      <c r="N41" s="238"/>
    </row>
    <row r="42" spans="1:17" ht="12.75" customHeight="1">
      <c r="A42" s="559" t="s">
        <v>989</v>
      </c>
      <c r="B42" s="559"/>
      <c r="C42" s="559"/>
      <c r="D42" s="12"/>
      <c r="E42" s="12"/>
      <c r="F42" s="559" t="s">
        <v>990</v>
      </c>
      <c r="G42" s="559"/>
      <c r="J42" s="12"/>
      <c r="K42" s="68"/>
      <c r="L42" s="559" t="s">
        <v>996</v>
      </c>
      <c r="M42" s="559"/>
      <c r="N42" s="559"/>
      <c r="O42" s="359"/>
      <c r="P42" s="359"/>
      <c r="Q42" s="359"/>
    </row>
    <row r="43" spans="1:17" ht="12.75" customHeight="1">
      <c r="A43" s="559" t="s">
        <v>991</v>
      </c>
      <c r="B43" s="559"/>
      <c r="C43" s="559"/>
      <c r="D43" s="12"/>
      <c r="E43" s="12"/>
      <c r="F43" s="559" t="s">
        <v>992</v>
      </c>
      <c r="G43" s="559"/>
      <c r="J43" s="12"/>
      <c r="K43" s="68"/>
      <c r="L43" s="559" t="s">
        <v>993</v>
      </c>
      <c r="M43" s="559"/>
      <c r="N43" s="559"/>
      <c r="O43" s="359"/>
      <c r="P43" s="359"/>
      <c r="Q43" s="359"/>
    </row>
    <row r="44" spans="1:17" ht="12.75">
      <c r="A44" s="559" t="s">
        <v>994</v>
      </c>
      <c r="B44" s="559"/>
      <c r="C44" s="559"/>
      <c r="D44" s="12"/>
      <c r="E44" s="12"/>
      <c r="F44" s="559" t="s">
        <v>995</v>
      </c>
      <c r="G44" s="559"/>
      <c r="J44" s="12"/>
      <c r="K44" s="11"/>
      <c r="L44" s="559" t="s">
        <v>995</v>
      </c>
      <c r="M44" s="559"/>
      <c r="N44" s="559"/>
      <c r="O44" s="359"/>
      <c r="P44" s="359"/>
      <c r="Q44" s="359"/>
    </row>
    <row r="46" spans="1:14" ht="12.75">
      <c r="A46" s="924"/>
      <c r="B46" s="924"/>
      <c r="C46" s="924"/>
      <c r="D46" s="924"/>
      <c r="E46" s="924"/>
      <c r="F46" s="924"/>
      <c r="G46" s="924"/>
      <c r="H46" s="924"/>
      <c r="I46" s="924"/>
      <c r="J46" s="924"/>
      <c r="K46" s="924"/>
      <c r="L46" s="924"/>
      <c r="M46" s="924"/>
      <c r="N46" s="924"/>
    </row>
  </sheetData>
  <sheetProtection/>
  <mergeCells count="26">
    <mergeCell ref="A34:B34"/>
    <mergeCell ref="E7:H7"/>
    <mergeCell ref="I7:N7"/>
    <mergeCell ref="A5:N5"/>
    <mergeCell ref="D1:E1"/>
    <mergeCell ref="M1:N1"/>
    <mergeCell ref="A2:N2"/>
    <mergeCell ref="A3:N3"/>
    <mergeCell ref="A4:N4"/>
    <mergeCell ref="A46:N46"/>
    <mergeCell ref="C7:C8"/>
    <mergeCell ref="A6:B6"/>
    <mergeCell ref="H6:N6"/>
    <mergeCell ref="A7:A8"/>
    <mergeCell ref="B7:B8"/>
    <mergeCell ref="D7:D8"/>
    <mergeCell ref="C10:N34"/>
    <mergeCell ref="A42:C42"/>
    <mergeCell ref="F42:G42"/>
    <mergeCell ref="A43:C43"/>
    <mergeCell ref="F43:G43"/>
    <mergeCell ref="A44:C44"/>
    <mergeCell ref="F44:G44"/>
    <mergeCell ref="L42:N42"/>
    <mergeCell ref="L43:N43"/>
    <mergeCell ref="L44:N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61.xml><?xml version="1.0" encoding="utf-8"?>
<worksheet xmlns="http://schemas.openxmlformats.org/spreadsheetml/2006/main" xmlns:r="http://schemas.openxmlformats.org/officeDocument/2006/relationships">
  <sheetPr>
    <tabColor rgb="FF92D050"/>
    <pageSetUpPr fitToPage="1"/>
  </sheetPr>
  <dimension ref="A1:N46"/>
  <sheetViews>
    <sheetView view="pageBreakPreview" zoomScaleNormal="70" zoomScaleSheetLayoutView="100" zoomScalePageLayoutView="0" workbookViewId="0" topLeftCell="A1">
      <selection activeCell="W52" sqref="W52"/>
    </sheetView>
  </sheetViews>
  <sheetFormatPr defaultColWidth="9.140625" defaultRowHeight="12.75"/>
  <cols>
    <col min="1" max="1" width="5.57421875" style="239" customWidth="1"/>
    <col min="2" max="2" width="17.421875" style="239" customWidth="1"/>
    <col min="3" max="4" width="12.421875" style="239" customWidth="1"/>
    <col min="5" max="5" width="8.7109375" style="239" customWidth="1"/>
    <col min="6" max="7" width="8.00390625" style="239" customWidth="1"/>
    <col min="8" max="10" width="8.140625" style="239" customWidth="1"/>
    <col min="11" max="11" width="8.421875" style="239" customWidth="1"/>
    <col min="12" max="12" width="8.140625" style="239" customWidth="1"/>
    <col min="13" max="13" width="11.28125" style="239" customWidth="1"/>
    <col min="14" max="14" width="11.8515625" style="239" customWidth="1"/>
    <col min="15" max="16384" width="9.140625" style="239" customWidth="1"/>
  </cols>
  <sheetData>
    <row r="1" spans="4:14" ht="12.75" customHeight="1">
      <c r="D1" s="932"/>
      <c r="E1" s="932"/>
      <c r="M1" s="933" t="s">
        <v>759</v>
      </c>
      <c r="N1" s="933"/>
    </row>
    <row r="2" spans="1:14" ht="15.75">
      <c r="A2" s="930" t="s">
        <v>0</v>
      </c>
      <c r="B2" s="930"/>
      <c r="C2" s="930"/>
      <c r="D2" s="930"/>
      <c r="E2" s="930"/>
      <c r="F2" s="930"/>
      <c r="G2" s="930"/>
      <c r="H2" s="930"/>
      <c r="I2" s="930"/>
      <c r="J2" s="930"/>
      <c r="K2" s="930"/>
      <c r="L2" s="930"/>
      <c r="M2" s="930"/>
      <c r="N2" s="930"/>
    </row>
    <row r="3" spans="1:14" ht="18">
      <c r="A3" s="931" t="s">
        <v>645</v>
      </c>
      <c r="B3" s="931"/>
      <c r="C3" s="931"/>
      <c r="D3" s="931"/>
      <c r="E3" s="931"/>
      <c r="F3" s="931"/>
      <c r="G3" s="931"/>
      <c r="H3" s="931"/>
      <c r="I3" s="931"/>
      <c r="J3" s="931"/>
      <c r="K3" s="931"/>
      <c r="L3" s="931"/>
      <c r="M3" s="931"/>
      <c r="N3" s="931"/>
    </row>
    <row r="4" spans="1:14" ht="12.75">
      <c r="A4" s="947" t="s">
        <v>758</v>
      </c>
      <c r="B4" s="947"/>
      <c r="C4" s="947"/>
      <c r="D4" s="947"/>
      <c r="E4" s="947"/>
      <c r="F4" s="947"/>
      <c r="G4" s="947"/>
      <c r="H4" s="947"/>
      <c r="I4" s="947"/>
      <c r="J4" s="947"/>
      <c r="K4" s="947"/>
      <c r="L4" s="947"/>
      <c r="M4" s="947"/>
      <c r="N4" s="947"/>
    </row>
    <row r="5" spans="1:14" ht="12.75">
      <c r="A5" s="924"/>
      <c r="B5" s="924"/>
      <c r="C5" s="924"/>
      <c r="D5" s="924"/>
      <c r="E5" s="924"/>
      <c r="F5" s="924"/>
      <c r="G5" s="924"/>
      <c r="H5" s="924"/>
      <c r="I5" s="924"/>
      <c r="J5" s="924"/>
      <c r="K5" s="924"/>
      <c r="L5" s="924"/>
      <c r="M5" s="924"/>
      <c r="N5" s="924"/>
    </row>
    <row r="6" spans="1:14" ht="12.75">
      <c r="A6" s="926" t="s">
        <v>157</v>
      </c>
      <c r="B6" s="926"/>
      <c r="D6" s="285"/>
      <c r="H6" s="925"/>
      <c r="I6" s="925"/>
      <c r="J6" s="925"/>
      <c r="K6" s="925"/>
      <c r="L6" s="925"/>
      <c r="M6" s="925"/>
      <c r="N6" s="925"/>
    </row>
    <row r="7" spans="1:14" ht="24.75" customHeight="1">
      <c r="A7" s="738" t="s">
        <v>1</v>
      </c>
      <c r="B7" s="738" t="s">
        <v>2</v>
      </c>
      <c r="C7" s="934" t="s">
        <v>494</v>
      </c>
      <c r="D7" s="927" t="s">
        <v>78</v>
      </c>
      <c r="E7" s="740" t="s">
        <v>79</v>
      </c>
      <c r="F7" s="741"/>
      <c r="G7" s="741"/>
      <c r="H7" s="742"/>
      <c r="I7" s="740" t="s">
        <v>726</v>
      </c>
      <c r="J7" s="741"/>
      <c r="K7" s="741"/>
      <c r="L7" s="741"/>
      <c r="M7" s="741"/>
      <c r="N7" s="741"/>
    </row>
    <row r="8" spans="1:14" ht="44.25" customHeight="1">
      <c r="A8" s="738"/>
      <c r="B8" s="738"/>
      <c r="C8" s="935"/>
      <c r="D8" s="928"/>
      <c r="E8" s="22" t="s">
        <v>177</v>
      </c>
      <c r="F8" s="22" t="s">
        <v>110</v>
      </c>
      <c r="G8" s="22" t="s">
        <v>111</v>
      </c>
      <c r="H8" s="22" t="s">
        <v>442</v>
      </c>
      <c r="I8" s="22" t="s">
        <v>13</v>
      </c>
      <c r="J8" s="22" t="s">
        <v>727</v>
      </c>
      <c r="K8" s="22" t="s">
        <v>728</v>
      </c>
      <c r="L8" s="22" t="s">
        <v>729</v>
      </c>
      <c r="M8" s="22" t="s">
        <v>730</v>
      </c>
      <c r="N8" s="22" t="s">
        <v>731</v>
      </c>
    </row>
    <row r="9" spans="1:14" s="238" customFormat="1" ht="12.75">
      <c r="A9" s="22">
        <v>1</v>
      </c>
      <c r="B9" s="22">
        <v>2</v>
      </c>
      <c r="C9" s="22">
        <v>3</v>
      </c>
      <c r="D9" s="22">
        <v>8</v>
      </c>
      <c r="E9" s="22">
        <v>9</v>
      </c>
      <c r="F9" s="22">
        <v>10</v>
      </c>
      <c r="G9" s="22">
        <v>11</v>
      </c>
      <c r="H9" s="22">
        <v>12</v>
      </c>
      <c r="I9" s="22">
        <v>13</v>
      </c>
      <c r="J9" s="22">
        <v>14</v>
      </c>
      <c r="K9" s="22">
        <v>15</v>
      </c>
      <c r="L9" s="22">
        <v>16</v>
      </c>
      <c r="M9" s="22">
        <v>17</v>
      </c>
      <c r="N9" s="22">
        <v>18</v>
      </c>
    </row>
    <row r="10" spans="1:14" ht="12.75">
      <c r="A10" s="286">
        <v>1</v>
      </c>
      <c r="B10" s="224" t="s">
        <v>831</v>
      </c>
      <c r="C10" s="936" t="s">
        <v>874</v>
      </c>
      <c r="D10" s="937"/>
      <c r="E10" s="937"/>
      <c r="F10" s="937"/>
      <c r="G10" s="937"/>
      <c r="H10" s="937"/>
      <c r="I10" s="937"/>
      <c r="J10" s="937"/>
      <c r="K10" s="937"/>
      <c r="L10" s="937"/>
      <c r="M10" s="937"/>
      <c r="N10" s="938"/>
    </row>
    <row r="11" spans="1:14" ht="12.75">
      <c r="A11" s="286">
        <v>2</v>
      </c>
      <c r="B11" s="224" t="s">
        <v>832</v>
      </c>
      <c r="C11" s="939"/>
      <c r="D11" s="940"/>
      <c r="E11" s="940"/>
      <c r="F11" s="940"/>
      <c r="G11" s="940"/>
      <c r="H11" s="940"/>
      <c r="I11" s="940"/>
      <c r="J11" s="940"/>
      <c r="K11" s="940"/>
      <c r="L11" s="940"/>
      <c r="M11" s="940"/>
      <c r="N11" s="941"/>
    </row>
    <row r="12" spans="1:14" ht="12.75">
      <c r="A12" s="286">
        <v>3</v>
      </c>
      <c r="B12" s="224" t="s">
        <v>833</v>
      </c>
      <c r="C12" s="939"/>
      <c r="D12" s="940"/>
      <c r="E12" s="940"/>
      <c r="F12" s="940"/>
      <c r="G12" s="940"/>
      <c r="H12" s="940"/>
      <c r="I12" s="940"/>
      <c r="J12" s="940"/>
      <c r="K12" s="940"/>
      <c r="L12" s="940"/>
      <c r="M12" s="940"/>
      <c r="N12" s="941"/>
    </row>
    <row r="13" spans="1:14" ht="12.75">
      <c r="A13" s="286">
        <v>4</v>
      </c>
      <c r="B13" s="224" t="s">
        <v>834</v>
      </c>
      <c r="C13" s="939"/>
      <c r="D13" s="940"/>
      <c r="E13" s="940"/>
      <c r="F13" s="940"/>
      <c r="G13" s="940"/>
      <c r="H13" s="940"/>
      <c r="I13" s="940"/>
      <c r="J13" s="940"/>
      <c r="K13" s="940"/>
      <c r="L13" s="940"/>
      <c r="M13" s="940"/>
      <c r="N13" s="941"/>
    </row>
    <row r="14" spans="1:14" ht="12.75">
      <c r="A14" s="286">
        <v>5</v>
      </c>
      <c r="B14" s="224" t="s">
        <v>835</v>
      </c>
      <c r="C14" s="939"/>
      <c r="D14" s="940"/>
      <c r="E14" s="940"/>
      <c r="F14" s="940"/>
      <c r="G14" s="940"/>
      <c r="H14" s="940"/>
      <c r="I14" s="940"/>
      <c r="J14" s="940"/>
      <c r="K14" s="940"/>
      <c r="L14" s="940"/>
      <c r="M14" s="940"/>
      <c r="N14" s="941"/>
    </row>
    <row r="15" spans="1:14" ht="12.75">
      <c r="A15" s="286">
        <v>6</v>
      </c>
      <c r="B15" s="224" t="s">
        <v>836</v>
      </c>
      <c r="C15" s="939"/>
      <c r="D15" s="940"/>
      <c r="E15" s="940"/>
      <c r="F15" s="940"/>
      <c r="G15" s="940"/>
      <c r="H15" s="940"/>
      <c r="I15" s="940"/>
      <c r="J15" s="940"/>
      <c r="K15" s="940"/>
      <c r="L15" s="940"/>
      <c r="M15" s="940"/>
      <c r="N15" s="941"/>
    </row>
    <row r="16" spans="1:14" ht="12.75">
      <c r="A16" s="286">
        <v>7</v>
      </c>
      <c r="B16" s="224" t="s">
        <v>837</v>
      </c>
      <c r="C16" s="939"/>
      <c r="D16" s="940"/>
      <c r="E16" s="940"/>
      <c r="F16" s="940"/>
      <c r="G16" s="940"/>
      <c r="H16" s="940"/>
      <c r="I16" s="940"/>
      <c r="J16" s="940"/>
      <c r="K16" s="940"/>
      <c r="L16" s="940"/>
      <c r="M16" s="940"/>
      <c r="N16" s="941"/>
    </row>
    <row r="17" spans="1:14" ht="12.75">
      <c r="A17" s="286">
        <v>8</v>
      </c>
      <c r="B17" s="224" t="s">
        <v>838</v>
      </c>
      <c r="C17" s="939"/>
      <c r="D17" s="940"/>
      <c r="E17" s="940"/>
      <c r="F17" s="940"/>
      <c r="G17" s="940"/>
      <c r="H17" s="940"/>
      <c r="I17" s="940"/>
      <c r="J17" s="940"/>
      <c r="K17" s="940"/>
      <c r="L17" s="940"/>
      <c r="M17" s="940"/>
      <c r="N17" s="941"/>
    </row>
    <row r="18" spans="1:14" ht="12.75">
      <c r="A18" s="286">
        <v>9</v>
      </c>
      <c r="B18" s="224" t="s">
        <v>839</v>
      </c>
      <c r="C18" s="939"/>
      <c r="D18" s="940"/>
      <c r="E18" s="940"/>
      <c r="F18" s="940"/>
      <c r="G18" s="940"/>
      <c r="H18" s="940"/>
      <c r="I18" s="940"/>
      <c r="J18" s="940"/>
      <c r="K18" s="940"/>
      <c r="L18" s="940"/>
      <c r="M18" s="940"/>
      <c r="N18" s="941"/>
    </row>
    <row r="19" spans="1:14" ht="12.75">
      <c r="A19" s="286">
        <v>10</v>
      </c>
      <c r="B19" s="224" t="s">
        <v>840</v>
      </c>
      <c r="C19" s="939"/>
      <c r="D19" s="940"/>
      <c r="E19" s="940"/>
      <c r="F19" s="940"/>
      <c r="G19" s="940"/>
      <c r="H19" s="940"/>
      <c r="I19" s="940"/>
      <c r="J19" s="940"/>
      <c r="K19" s="940"/>
      <c r="L19" s="940"/>
      <c r="M19" s="940"/>
      <c r="N19" s="941"/>
    </row>
    <row r="20" spans="1:14" ht="12.75">
      <c r="A20" s="286">
        <v>11</v>
      </c>
      <c r="B20" s="224" t="s">
        <v>841</v>
      </c>
      <c r="C20" s="939"/>
      <c r="D20" s="940"/>
      <c r="E20" s="940"/>
      <c r="F20" s="940"/>
      <c r="G20" s="940"/>
      <c r="H20" s="940"/>
      <c r="I20" s="940"/>
      <c r="J20" s="940"/>
      <c r="K20" s="940"/>
      <c r="L20" s="940"/>
      <c r="M20" s="940"/>
      <c r="N20" s="941"/>
    </row>
    <row r="21" spans="1:14" ht="12.75">
      <c r="A21" s="286">
        <v>12</v>
      </c>
      <c r="B21" s="224" t="s">
        <v>842</v>
      </c>
      <c r="C21" s="939"/>
      <c r="D21" s="940"/>
      <c r="E21" s="940"/>
      <c r="F21" s="940"/>
      <c r="G21" s="940"/>
      <c r="H21" s="940"/>
      <c r="I21" s="940"/>
      <c r="J21" s="940"/>
      <c r="K21" s="940"/>
      <c r="L21" s="940"/>
      <c r="M21" s="940"/>
      <c r="N21" s="941"/>
    </row>
    <row r="22" spans="1:14" ht="12.75">
      <c r="A22" s="286">
        <v>13</v>
      </c>
      <c r="B22" s="224" t="s">
        <v>843</v>
      </c>
      <c r="C22" s="939"/>
      <c r="D22" s="940"/>
      <c r="E22" s="940"/>
      <c r="F22" s="940"/>
      <c r="G22" s="940"/>
      <c r="H22" s="940"/>
      <c r="I22" s="940"/>
      <c r="J22" s="940"/>
      <c r="K22" s="940"/>
      <c r="L22" s="940"/>
      <c r="M22" s="940"/>
      <c r="N22" s="941"/>
    </row>
    <row r="23" spans="1:14" ht="12.75">
      <c r="A23" s="286">
        <v>14</v>
      </c>
      <c r="B23" s="224" t="s">
        <v>844</v>
      </c>
      <c r="C23" s="939"/>
      <c r="D23" s="940"/>
      <c r="E23" s="940"/>
      <c r="F23" s="940"/>
      <c r="G23" s="940"/>
      <c r="H23" s="940"/>
      <c r="I23" s="940"/>
      <c r="J23" s="940"/>
      <c r="K23" s="940"/>
      <c r="L23" s="940"/>
      <c r="M23" s="940"/>
      <c r="N23" s="941"/>
    </row>
    <row r="24" spans="1:14" ht="12.75">
      <c r="A24" s="286">
        <v>15</v>
      </c>
      <c r="B24" s="224" t="s">
        <v>845</v>
      </c>
      <c r="C24" s="939"/>
      <c r="D24" s="940"/>
      <c r="E24" s="940"/>
      <c r="F24" s="940"/>
      <c r="G24" s="940"/>
      <c r="H24" s="940"/>
      <c r="I24" s="940"/>
      <c r="J24" s="940"/>
      <c r="K24" s="940"/>
      <c r="L24" s="940"/>
      <c r="M24" s="940"/>
      <c r="N24" s="941"/>
    </row>
    <row r="25" spans="1:14" ht="12.75">
      <c r="A25" s="286">
        <v>16</v>
      </c>
      <c r="B25" s="224" t="s">
        <v>846</v>
      </c>
      <c r="C25" s="939"/>
      <c r="D25" s="940"/>
      <c r="E25" s="940"/>
      <c r="F25" s="940"/>
      <c r="G25" s="940"/>
      <c r="H25" s="940"/>
      <c r="I25" s="940"/>
      <c r="J25" s="940"/>
      <c r="K25" s="940"/>
      <c r="L25" s="940"/>
      <c r="M25" s="940"/>
      <c r="N25" s="941"/>
    </row>
    <row r="26" spans="1:14" ht="12.75">
      <c r="A26" s="286">
        <v>17</v>
      </c>
      <c r="B26" s="224" t="s">
        <v>847</v>
      </c>
      <c r="C26" s="939"/>
      <c r="D26" s="940"/>
      <c r="E26" s="940"/>
      <c r="F26" s="940"/>
      <c r="G26" s="940"/>
      <c r="H26" s="940"/>
      <c r="I26" s="940"/>
      <c r="J26" s="940"/>
      <c r="K26" s="940"/>
      <c r="L26" s="940"/>
      <c r="M26" s="940"/>
      <c r="N26" s="941"/>
    </row>
    <row r="27" spans="1:14" ht="12.75">
      <c r="A27" s="286">
        <v>18</v>
      </c>
      <c r="B27" s="224" t="s">
        <v>848</v>
      </c>
      <c r="C27" s="939"/>
      <c r="D27" s="940"/>
      <c r="E27" s="940"/>
      <c r="F27" s="940"/>
      <c r="G27" s="940"/>
      <c r="H27" s="940"/>
      <c r="I27" s="940"/>
      <c r="J27" s="940"/>
      <c r="K27" s="940"/>
      <c r="L27" s="940"/>
      <c r="M27" s="940"/>
      <c r="N27" s="941"/>
    </row>
    <row r="28" spans="1:14" ht="12.75">
      <c r="A28" s="286">
        <v>19</v>
      </c>
      <c r="B28" s="224" t="s">
        <v>849</v>
      </c>
      <c r="C28" s="939"/>
      <c r="D28" s="940"/>
      <c r="E28" s="940"/>
      <c r="F28" s="940"/>
      <c r="G28" s="940"/>
      <c r="H28" s="940"/>
      <c r="I28" s="940"/>
      <c r="J28" s="940"/>
      <c r="K28" s="940"/>
      <c r="L28" s="940"/>
      <c r="M28" s="940"/>
      <c r="N28" s="941"/>
    </row>
    <row r="29" spans="1:14" ht="12.75">
      <c r="A29" s="286">
        <v>20</v>
      </c>
      <c r="B29" s="224" t="s">
        <v>850</v>
      </c>
      <c r="C29" s="939"/>
      <c r="D29" s="940"/>
      <c r="E29" s="940"/>
      <c r="F29" s="940"/>
      <c r="G29" s="940"/>
      <c r="H29" s="940"/>
      <c r="I29" s="940"/>
      <c r="J29" s="940"/>
      <c r="K29" s="940"/>
      <c r="L29" s="940"/>
      <c r="M29" s="940"/>
      <c r="N29" s="941"/>
    </row>
    <row r="30" spans="1:14" ht="12.75">
      <c r="A30" s="286">
        <v>21</v>
      </c>
      <c r="B30" s="224" t="s">
        <v>851</v>
      </c>
      <c r="C30" s="939"/>
      <c r="D30" s="940"/>
      <c r="E30" s="940"/>
      <c r="F30" s="940"/>
      <c r="G30" s="940"/>
      <c r="H30" s="940"/>
      <c r="I30" s="940"/>
      <c r="J30" s="940"/>
      <c r="K30" s="940"/>
      <c r="L30" s="940"/>
      <c r="M30" s="940"/>
      <c r="N30" s="941"/>
    </row>
    <row r="31" spans="1:14" ht="12.75">
      <c r="A31" s="286">
        <v>22</v>
      </c>
      <c r="B31" s="224" t="s">
        <v>852</v>
      </c>
      <c r="C31" s="939"/>
      <c r="D31" s="940"/>
      <c r="E31" s="940"/>
      <c r="F31" s="940"/>
      <c r="G31" s="940"/>
      <c r="H31" s="940"/>
      <c r="I31" s="940"/>
      <c r="J31" s="940"/>
      <c r="K31" s="940"/>
      <c r="L31" s="940"/>
      <c r="M31" s="940"/>
      <c r="N31" s="941"/>
    </row>
    <row r="32" spans="1:14" ht="12.75">
      <c r="A32" s="286">
        <v>23</v>
      </c>
      <c r="B32" s="224" t="s">
        <v>853</v>
      </c>
      <c r="C32" s="939"/>
      <c r="D32" s="940"/>
      <c r="E32" s="940"/>
      <c r="F32" s="940"/>
      <c r="G32" s="940"/>
      <c r="H32" s="940"/>
      <c r="I32" s="940"/>
      <c r="J32" s="940"/>
      <c r="K32" s="940"/>
      <c r="L32" s="940"/>
      <c r="M32" s="940"/>
      <c r="N32" s="941"/>
    </row>
    <row r="33" spans="1:14" ht="12.75">
      <c r="A33" s="286">
        <v>24</v>
      </c>
      <c r="B33" s="224" t="s">
        <v>854</v>
      </c>
      <c r="C33" s="939"/>
      <c r="D33" s="940"/>
      <c r="E33" s="940"/>
      <c r="F33" s="940"/>
      <c r="G33" s="940"/>
      <c r="H33" s="940"/>
      <c r="I33" s="940"/>
      <c r="J33" s="940"/>
      <c r="K33" s="940"/>
      <c r="L33" s="940"/>
      <c r="M33" s="940"/>
      <c r="N33" s="941"/>
    </row>
    <row r="34" spans="1:14" s="238" customFormat="1" ht="12.75">
      <c r="A34" s="828" t="s">
        <v>860</v>
      </c>
      <c r="B34" s="923"/>
      <c r="C34" s="942"/>
      <c r="D34" s="943"/>
      <c r="E34" s="943"/>
      <c r="F34" s="943"/>
      <c r="G34" s="943"/>
      <c r="H34" s="943"/>
      <c r="I34" s="943"/>
      <c r="J34" s="943"/>
      <c r="K34" s="943"/>
      <c r="L34" s="943"/>
      <c r="M34" s="943"/>
      <c r="N34" s="944"/>
    </row>
    <row r="35" spans="1:4" ht="12.75">
      <c r="A35" s="288"/>
      <c r="B35" s="288"/>
      <c r="C35" s="288"/>
      <c r="D35" s="288"/>
    </row>
    <row r="36" spans="1:4" ht="12.75">
      <c r="A36" s="289" t="s">
        <v>6</v>
      </c>
      <c r="B36" s="290"/>
      <c r="C36" s="290"/>
      <c r="D36" s="288"/>
    </row>
    <row r="37" spans="1:3" ht="12.75">
      <c r="A37" s="238" t="s">
        <v>7</v>
      </c>
      <c r="B37" s="238"/>
      <c r="C37" s="238"/>
    </row>
    <row r="38" spans="1:3" ht="12.75">
      <c r="A38" s="238" t="s">
        <v>8</v>
      </c>
      <c r="B38" s="238"/>
      <c r="C38" s="238"/>
    </row>
    <row r="39" spans="1:3" ht="12.75">
      <c r="A39" s="238"/>
      <c r="B39" s="238"/>
      <c r="C39" s="238"/>
    </row>
    <row r="40" spans="1:3" ht="12.75">
      <c r="A40" s="238"/>
      <c r="B40" s="238"/>
      <c r="C40" s="238"/>
    </row>
    <row r="41" spans="1:14" ht="12.75">
      <c r="A41" s="238"/>
      <c r="D41" s="238"/>
      <c r="F41" s="238"/>
      <c r="G41" s="238"/>
      <c r="H41" s="238"/>
      <c r="I41" s="238"/>
      <c r="J41" s="238"/>
      <c r="K41" s="238"/>
      <c r="L41" s="238"/>
      <c r="M41" s="238"/>
      <c r="N41" s="238"/>
    </row>
    <row r="42" spans="1:14" ht="12.75" customHeight="1">
      <c r="A42" s="559" t="s">
        <v>989</v>
      </c>
      <c r="B42" s="559"/>
      <c r="C42" s="559"/>
      <c r="D42" s="12"/>
      <c r="E42" s="12"/>
      <c r="F42" s="559" t="s">
        <v>990</v>
      </c>
      <c r="G42" s="559"/>
      <c r="J42" s="12"/>
      <c r="K42" s="68"/>
      <c r="L42" s="559" t="s">
        <v>996</v>
      </c>
      <c r="M42" s="559"/>
      <c r="N42" s="559"/>
    </row>
    <row r="43" spans="1:14" ht="12.75" customHeight="1">
      <c r="A43" s="559" t="s">
        <v>991</v>
      </c>
      <c r="B43" s="559"/>
      <c r="C43" s="559"/>
      <c r="D43" s="12"/>
      <c r="E43" s="12"/>
      <c r="F43" s="559" t="s">
        <v>992</v>
      </c>
      <c r="G43" s="559"/>
      <c r="J43" s="12"/>
      <c r="K43" s="68"/>
      <c r="L43" s="559" t="s">
        <v>993</v>
      </c>
      <c r="M43" s="559"/>
      <c r="N43" s="559"/>
    </row>
    <row r="44" spans="1:14" ht="12.75">
      <c r="A44" s="559" t="s">
        <v>994</v>
      </c>
      <c r="B44" s="559"/>
      <c r="C44" s="559"/>
      <c r="D44" s="12"/>
      <c r="E44" s="12"/>
      <c r="F44" s="559" t="s">
        <v>995</v>
      </c>
      <c r="G44" s="559"/>
      <c r="J44" s="12"/>
      <c r="K44" s="11"/>
      <c r="L44" s="559" t="s">
        <v>995</v>
      </c>
      <c r="M44" s="559"/>
      <c r="N44" s="559"/>
    </row>
    <row r="46" spans="1:14" ht="12.75">
      <c r="A46" s="924"/>
      <c r="B46" s="924"/>
      <c r="C46" s="924"/>
      <c r="D46" s="924"/>
      <c r="E46" s="924"/>
      <c r="F46" s="924"/>
      <c r="G46" s="924"/>
      <c r="H46" s="924"/>
      <c r="I46" s="924"/>
      <c r="J46" s="924"/>
      <c r="K46" s="924"/>
      <c r="L46" s="924"/>
      <c r="M46" s="924"/>
      <c r="N46" s="924"/>
    </row>
  </sheetData>
  <sheetProtection/>
  <mergeCells count="26">
    <mergeCell ref="A34:B34"/>
    <mergeCell ref="E7:H7"/>
    <mergeCell ref="I7:N7"/>
    <mergeCell ref="A5:N5"/>
    <mergeCell ref="D1:E1"/>
    <mergeCell ref="M1:N1"/>
    <mergeCell ref="A2:N2"/>
    <mergeCell ref="A3:N3"/>
    <mergeCell ref="A4:N4"/>
    <mergeCell ref="A46:N46"/>
    <mergeCell ref="A6:B6"/>
    <mergeCell ref="H6:N6"/>
    <mergeCell ref="A7:A8"/>
    <mergeCell ref="B7:B8"/>
    <mergeCell ref="C7:C8"/>
    <mergeCell ref="D7:D8"/>
    <mergeCell ref="C10:N34"/>
    <mergeCell ref="A42:C42"/>
    <mergeCell ref="F42:G42"/>
    <mergeCell ref="L42:N42"/>
    <mergeCell ref="A43:C43"/>
    <mergeCell ref="F43:G43"/>
    <mergeCell ref="L43:N43"/>
    <mergeCell ref="A44:C44"/>
    <mergeCell ref="F44:G44"/>
    <mergeCell ref="L44:N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62.xml><?xml version="1.0" encoding="utf-8"?>
<worksheet xmlns="http://schemas.openxmlformats.org/spreadsheetml/2006/main" xmlns:r="http://schemas.openxmlformats.org/officeDocument/2006/relationships">
  <sheetPr>
    <tabColor rgb="FF92D050"/>
    <pageSetUpPr fitToPage="1"/>
  </sheetPr>
  <dimension ref="A1:AS42"/>
  <sheetViews>
    <sheetView view="pageBreakPreview" zoomScale="70" zoomScaleNormal="70" zoomScaleSheetLayoutView="70" zoomScalePageLayoutView="0" workbookViewId="0" topLeftCell="A13">
      <selection activeCell="R35" sqref="R35"/>
    </sheetView>
  </sheetViews>
  <sheetFormatPr defaultColWidth="9.140625" defaultRowHeight="12.75"/>
  <cols>
    <col min="1" max="1" width="9.140625" style="421" customWidth="1"/>
    <col min="2" max="2" width="17.421875" style="421" customWidth="1"/>
    <col min="3" max="14" width="9.140625" style="421" customWidth="1"/>
    <col min="15" max="15" width="11.421875" style="421" customWidth="1"/>
    <col min="16" max="16" width="12.28125" style="421" customWidth="1"/>
    <col min="17" max="17" width="11.57421875" style="421" customWidth="1"/>
    <col min="18" max="18" width="14.8515625" style="421" customWidth="1"/>
    <col min="19" max="19" width="9.00390625" style="421" customWidth="1"/>
    <col min="20" max="20" width="9.140625" style="421" hidden="1" customWidth="1"/>
    <col min="21" max="16384" width="9.140625" style="421" customWidth="1"/>
  </cols>
  <sheetData>
    <row r="1" spans="14:18" s="12" customFormat="1" ht="15.75">
      <c r="N1" s="33"/>
      <c r="O1" s="33"/>
      <c r="Q1" s="36" t="s">
        <v>546</v>
      </c>
      <c r="R1" s="36"/>
    </row>
    <row r="2" spans="1:18" s="12" customFormat="1" ht="15.75">
      <c r="A2" s="590" t="s">
        <v>0</v>
      </c>
      <c r="B2" s="590"/>
      <c r="C2" s="590"/>
      <c r="D2" s="590"/>
      <c r="E2" s="590"/>
      <c r="F2" s="590"/>
      <c r="G2" s="590"/>
      <c r="H2" s="590"/>
      <c r="I2" s="590"/>
      <c r="J2" s="590"/>
      <c r="K2" s="590"/>
      <c r="L2" s="590"/>
      <c r="M2" s="590"/>
      <c r="N2" s="590"/>
      <c r="O2" s="590"/>
      <c r="P2" s="590"/>
      <c r="Q2" s="590"/>
      <c r="R2" s="590"/>
    </row>
    <row r="3" spans="1:18" s="12" customFormat="1" ht="20.25">
      <c r="A3" s="591" t="s">
        <v>645</v>
      </c>
      <c r="B3" s="591"/>
      <c r="C3" s="591"/>
      <c r="D3" s="591"/>
      <c r="E3" s="591"/>
      <c r="F3" s="591"/>
      <c r="G3" s="591"/>
      <c r="H3" s="591"/>
      <c r="I3" s="591"/>
      <c r="J3" s="591"/>
      <c r="K3" s="591"/>
      <c r="L3" s="591"/>
      <c r="M3" s="591"/>
      <c r="N3" s="591"/>
      <c r="O3" s="591"/>
      <c r="P3" s="591"/>
      <c r="Q3" s="591"/>
      <c r="R3" s="591"/>
    </row>
    <row r="4" spans="2:10" s="12" customFormat="1" ht="20.25">
      <c r="B4" s="96"/>
      <c r="C4" s="96"/>
      <c r="D4" s="96"/>
      <c r="E4" s="96"/>
      <c r="F4" s="96"/>
      <c r="G4" s="96"/>
      <c r="H4" s="96"/>
      <c r="I4" s="96"/>
      <c r="J4" s="96"/>
    </row>
    <row r="5" spans="1:20" ht="18">
      <c r="A5" s="952" t="s">
        <v>737</v>
      </c>
      <c r="B5" s="952"/>
      <c r="C5" s="952"/>
      <c r="D5" s="952"/>
      <c r="E5" s="952"/>
      <c r="F5" s="952"/>
      <c r="G5" s="952"/>
      <c r="H5" s="952"/>
      <c r="I5" s="952"/>
      <c r="J5" s="952"/>
      <c r="K5" s="952"/>
      <c r="L5" s="952"/>
      <c r="M5" s="952"/>
      <c r="N5" s="952"/>
      <c r="O5" s="952"/>
      <c r="P5" s="952"/>
      <c r="Q5" s="952"/>
      <c r="R5" s="952"/>
      <c r="S5" s="440"/>
      <c r="T5" s="440"/>
    </row>
    <row r="6" spans="3:20" ht="15">
      <c r="C6" s="422"/>
      <c r="D6" s="422"/>
      <c r="E6" s="422"/>
      <c r="F6" s="422"/>
      <c r="G6" s="422"/>
      <c r="H6" s="422"/>
      <c r="M6" s="422"/>
      <c r="N6" s="422"/>
      <c r="O6" s="422"/>
      <c r="P6" s="422"/>
      <c r="Q6" s="422"/>
      <c r="R6" s="422"/>
      <c r="S6" s="422"/>
      <c r="T6" s="422"/>
    </row>
    <row r="7" spans="1:2" ht="15">
      <c r="A7" s="593" t="s">
        <v>157</v>
      </c>
      <c r="B7" s="593"/>
    </row>
    <row r="8" ht="15">
      <c r="B8" s="425"/>
    </row>
    <row r="9" spans="1:18" s="423" customFormat="1" ht="42" customHeight="1">
      <c r="A9" s="573" t="s">
        <v>1</v>
      </c>
      <c r="B9" s="950" t="s">
        <v>2</v>
      </c>
      <c r="C9" s="716" t="s">
        <v>247</v>
      </c>
      <c r="D9" s="716"/>
      <c r="E9" s="716"/>
      <c r="F9" s="716"/>
      <c r="G9" s="953" t="s">
        <v>760</v>
      </c>
      <c r="H9" s="954"/>
      <c r="I9" s="954"/>
      <c r="J9" s="956"/>
      <c r="K9" s="953" t="s">
        <v>208</v>
      </c>
      <c r="L9" s="954"/>
      <c r="M9" s="954"/>
      <c r="N9" s="956"/>
      <c r="O9" s="953" t="s">
        <v>100</v>
      </c>
      <c r="P9" s="954"/>
      <c r="Q9" s="954"/>
      <c r="R9" s="955"/>
    </row>
    <row r="10" spans="1:19" s="428" customFormat="1" ht="62.25" customHeight="1">
      <c r="A10" s="573"/>
      <c r="B10" s="951"/>
      <c r="C10" s="107" t="s">
        <v>86</v>
      </c>
      <c r="D10" s="107" t="s">
        <v>90</v>
      </c>
      <c r="E10" s="107" t="s">
        <v>91</v>
      </c>
      <c r="F10" s="107" t="s">
        <v>13</v>
      </c>
      <c r="G10" s="107" t="s">
        <v>86</v>
      </c>
      <c r="H10" s="107" t="s">
        <v>90</v>
      </c>
      <c r="I10" s="107" t="s">
        <v>91</v>
      </c>
      <c r="J10" s="107" t="s">
        <v>13</v>
      </c>
      <c r="K10" s="107" t="s">
        <v>86</v>
      </c>
      <c r="L10" s="107" t="s">
        <v>90</v>
      </c>
      <c r="M10" s="107" t="s">
        <v>91</v>
      </c>
      <c r="N10" s="107" t="s">
        <v>13</v>
      </c>
      <c r="O10" s="107" t="s">
        <v>138</v>
      </c>
      <c r="P10" s="107" t="s">
        <v>139</v>
      </c>
      <c r="Q10" s="426" t="s">
        <v>140</v>
      </c>
      <c r="R10" s="107" t="s">
        <v>141</v>
      </c>
      <c r="S10" s="447"/>
    </row>
    <row r="11" spans="1:18" s="457" customFormat="1" ht="15.75" customHeight="1">
      <c r="A11" s="5">
        <v>1</v>
      </c>
      <c r="B11" s="409">
        <v>2</v>
      </c>
      <c r="C11" s="107">
        <v>3</v>
      </c>
      <c r="D11" s="107">
        <v>4</v>
      </c>
      <c r="E11" s="107">
        <v>5</v>
      </c>
      <c r="F11" s="107">
        <v>6</v>
      </c>
      <c r="G11" s="107">
        <v>7</v>
      </c>
      <c r="H11" s="107">
        <v>8</v>
      </c>
      <c r="I11" s="107">
        <v>9</v>
      </c>
      <c r="J11" s="107">
        <v>10</v>
      </c>
      <c r="K11" s="107">
        <v>11</v>
      </c>
      <c r="L11" s="107">
        <v>12</v>
      </c>
      <c r="M11" s="107">
        <v>13</v>
      </c>
      <c r="N11" s="107">
        <v>14</v>
      </c>
      <c r="O11" s="107">
        <v>15</v>
      </c>
      <c r="P11" s="107">
        <v>16</v>
      </c>
      <c r="Q11" s="107">
        <v>17</v>
      </c>
      <c r="R11" s="409">
        <v>18</v>
      </c>
    </row>
    <row r="12" spans="1:18" s="457" customFormat="1" ht="15.75" customHeight="1">
      <c r="A12" s="5">
        <v>1</v>
      </c>
      <c r="B12" s="224" t="s">
        <v>831</v>
      </c>
      <c r="C12" s="458">
        <f>'AT3A_cvrg(Insti)_PY'!H11+'AT3B_cvrg(Insti)_UPY '!H11+'AT3C_cvrg(Insti)_UPY '!H11</f>
        <v>2318</v>
      </c>
      <c r="D12" s="458">
        <f>'AT3A_cvrg(Insti)_PY'!I11+'AT3B_cvrg(Insti)_UPY '!I11+'AT3C_cvrg(Insti)_UPY '!I11</f>
        <v>129</v>
      </c>
      <c r="E12" s="458">
        <v>0</v>
      </c>
      <c r="F12" s="458">
        <f>SUM(C12:E12)</f>
        <v>2447</v>
      </c>
      <c r="G12" s="459">
        <v>2454</v>
      </c>
      <c r="H12" s="458">
        <v>124</v>
      </c>
      <c r="I12" s="458">
        <v>0</v>
      </c>
      <c r="J12" s="459">
        <f>SUM(G12:I12)</f>
        <v>2578</v>
      </c>
      <c r="K12" s="458">
        <v>0</v>
      </c>
      <c r="L12" s="458">
        <v>0</v>
      </c>
      <c r="M12" s="458">
        <v>0</v>
      </c>
      <c r="N12" s="458">
        <f>SUM(K12:M12)</f>
        <v>0</v>
      </c>
      <c r="O12" s="459">
        <v>0</v>
      </c>
      <c r="P12" s="459">
        <v>0</v>
      </c>
      <c r="Q12" s="459">
        <v>0</v>
      </c>
      <c r="R12" s="459">
        <f aca="true" t="shared" si="0" ref="R12:R34">SUM(O12:Q12)</f>
        <v>0</v>
      </c>
    </row>
    <row r="13" spans="1:18" s="457" customFormat="1" ht="15.75" customHeight="1">
      <c r="A13" s="5">
        <v>2</v>
      </c>
      <c r="B13" s="224" t="s">
        <v>832</v>
      </c>
      <c r="C13" s="458">
        <f>'AT3A_cvrg(Insti)_PY'!H12+'AT3B_cvrg(Insti)_UPY '!H12+'AT3C_cvrg(Insti)_UPY '!H12</f>
        <v>876</v>
      </c>
      <c r="D13" s="458">
        <f>'AT3A_cvrg(Insti)_PY'!I12+'AT3B_cvrg(Insti)_UPY '!I12+'AT3C_cvrg(Insti)_UPY '!I12</f>
        <v>120</v>
      </c>
      <c r="E13" s="458">
        <v>0</v>
      </c>
      <c r="F13" s="458">
        <f aca="true" t="shared" si="1" ref="F13:F35">SUM(C13:E13)</f>
        <v>996</v>
      </c>
      <c r="G13" s="459">
        <v>977</v>
      </c>
      <c r="H13" s="458">
        <v>44</v>
      </c>
      <c r="I13" s="458">
        <v>0</v>
      </c>
      <c r="J13" s="459">
        <f aca="true" t="shared" si="2" ref="J13:J35">SUM(G13:I13)</f>
        <v>1021</v>
      </c>
      <c r="K13" s="458">
        <v>0</v>
      </c>
      <c r="L13" s="458">
        <v>0</v>
      </c>
      <c r="M13" s="458">
        <v>0</v>
      </c>
      <c r="N13" s="458">
        <f aca="true" t="shared" si="3" ref="N13:N35">SUM(K13:M13)</f>
        <v>0</v>
      </c>
      <c r="O13" s="459">
        <v>0</v>
      </c>
      <c r="P13" s="459">
        <v>0</v>
      </c>
      <c r="Q13" s="459">
        <v>0</v>
      </c>
      <c r="R13" s="459">
        <f t="shared" si="0"/>
        <v>0</v>
      </c>
    </row>
    <row r="14" spans="1:18" s="457" customFormat="1" ht="15.75" customHeight="1">
      <c r="A14" s="5">
        <v>3</v>
      </c>
      <c r="B14" s="224" t="s">
        <v>833</v>
      </c>
      <c r="C14" s="458">
        <f>'AT3A_cvrg(Insti)_PY'!H13+'AT3B_cvrg(Insti)_UPY '!H13+'AT3C_cvrg(Insti)_UPY '!H13</f>
        <v>567</v>
      </c>
      <c r="D14" s="458">
        <f>'AT3A_cvrg(Insti)_PY'!I13+'AT3B_cvrg(Insti)_UPY '!I13+'AT3C_cvrg(Insti)_UPY '!I13</f>
        <v>13</v>
      </c>
      <c r="E14" s="458">
        <v>0</v>
      </c>
      <c r="F14" s="458">
        <f t="shared" si="1"/>
        <v>580</v>
      </c>
      <c r="G14" s="459">
        <v>705</v>
      </c>
      <c r="H14" s="458">
        <v>5</v>
      </c>
      <c r="I14" s="458">
        <v>0</v>
      </c>
      <c r="J14" s="459">
        <f t="shared" si="2"/>
        <v>710</v>
      </c>
      <c r="K14" s="458">
        <v>0</v>
      </c>
      <c r="L14" s="458">
        <v>0</v>
      </c>
      <c r="M14" s="458">
        <v>0</v>
      </c>
      <c r="N14" s="458">
        <f t="shared" si="3"/>
        <v>0</v>
      </c>
      <c r="O14" s="459">
        <v>0</v>
      </c>
      <c r="P14" s="459">
        <v>0</v>
      </c>
      <c r="Q14" s="459">
        <v>0</v>
      </c>
      <c r="R14" s="459">
        <f t="shared" si="0"/>
        <v>0</v>
      </c>
    </row>
    <row r="15" spans="1:18" s="457" customFormat="1" ht="15.75" customHeight="1">
      <c r="A15" s="5">
        <v>4</v>
      </c>
      <c r="B15" s="224" t="s">
        <v>834</v>
      </c>
      <c r="C15" s="458">
        <f>'AT3A_cvrg(Insti)_PY'!H14+'AT3B_cvrg(Insti)_UPY '!H14+'AT3C_cvrg(Insti)_UPY '!H14</f>
        <v>1498</v>
      </c>
      <c r="D15" s="458">
        <f>'AT3A_cvrg(Insti)_PY'!I14+'AT3B_cvrg(Insti)_UPY '!I14+'AT3C_cvrg(Insti)_UPY '!I14</f>
        <v>231</v>
      </c>
      <c r="E15" s="458">
        <v>0</v>
      </c>
      <c r="F15" s="458">
        <f t="shared" si="1"/>
        <v>1729</v>
      </c>
      <c r="G15" s="459">
        <v>1646</v>
      </c>
      <c r="H15" s="458">
        <v>130</v>
      </c>
      <c r="I15" s="458">
        <v>0</v>
      </c>
      <c r="J15" s="459">
        <f t="shared" si="2"/>
        <v>1776</v>
      </c>
      <c r="K15" s="458">
        <v>0</v>
      </c>
      <c r="L15" s="458">
        <v>0</v>
      </c>
      <c r="M15" s="458">
        <v>0</v>
      </c>
      <c r="N15" s="458">
        <f t="shared" si="3"/>
        <v>0</v>
      </c>
      <c r="O15" s="459">
        <v>0</v>
      </c>
      <c r="P15" s="459">
        <v>0</v>
      </c>
      <c r="Q15" s="459">
        <v>0</v>
      </c>
      <c r="R15" s="459">
        <f t="shared" si="0"/>
        <v>0</v>
      </c>
    </row>
    <row r="16" spans="1:18" s="457" customFormat="1" ht="15.75" customHeight="1">
      <c r="A16" s="5">
        <v>5</v>
      </c>
      <c r="B16" s="224" t="s">
        <v>835</v>
      </c>
      <c r="C16" s="458">
        <f>'AT3A_cvrg(Insti)_PY'!H15+'AT3B_cvrg(Insti)_UPY '!H15+'AT3C_cvrg(Insti)_UPY '!H15</f>
        <v>854</v>
      </c>
      <c r="D16" s="458">
        <f>'AT3A_cvrg(Insti)_PY'!I15+'AT3B_cvrg(Insti)_UPY '!I15+'AT3C_cvrg(Insti)_UPY '!I15</f>
        <v>224</v>
      </c>
      <c r="E16" s="458">
        <v>0</v>
      </c>
      <c r="F16" s="458">
        <f t="shared" si="1"/>
        <v>1078</v>
      </c>
      <c r="G16" s="459">
        <v>799</v>
      </c>
      <c r="H16" s="458">
        <v>226</v>
      </c>
      <c r="I16" s="458">
        <v>0</v>
      </c>
      <c r="J16" s="459">
        <f t="shared" si="2"/>
        <v>1025</v>
      </c>
      <c r="K16" s="458">
        <v>0</v>
      </c>
      <c r="L16" s="458">
        <v>0</v>
      </c>
      <c r="M16" s="458">
        <v>0</v>
      </c>
      <c r="N16" s="458">
        <f t="shared" si="3"/>
        <v>0</v>
      </c>
      <c r="O16" s="459">
        <v>0</v>
      </c>
      <c r="P16" s="459">
        <v>0</v>
      </c>
      <c r="Q16" s="459">
        <v>0</v>
      </c>
      <c r="R16" s="459">
        <f t="shared" si="0"/>
        <v>0</v>
      </c>
    </row>
    <row r="17" spans="1:18" s="457" customFormat="1" ht="15.75" customHeight="1">
      <c r="A17" s="5">
        <v>6</v>
      </c>
      <c r="B17" s="224" t="s">
        <v>836</v>
      </c>
      <c r="C17" s="458">
        <f>'AT3A_cvrg(Insti)_PY'!H16+'AT3B_cvrg(Insti)_UPY '!H16+'AT3C_cvrg(Insti)_UPY '!H16</f>
        <v>1886</v>
      </c>
      <c r="D17" s="458">
        <f>'AT3A_cvrg(Insti)_PY'!I16+'AT3B_cvrg(Insti)_UPY '!I16+'AT3C_cvrg(Insti)_UPY '!I16</f>
        <v>66</v>
      </c>
      <c r="E17" s="458">
        <v>0</v>
      </c>
      <c r="F17" s="458">
        <f t="shared" si="1"/>
        <v>1952</v>
      </c>
      <c r="G17" s="459">
        <v>1897</v>
      </c>
      <c r="H17" s="458">
        <v>0</v>
      </c>
      <c r="I17" s="458">
        <v>0</v>
      </c>
      <c r="J17" s="459">
        <f t="shared" si="2"/>
        <v>1897</v>
      </c>
      <c r="K17" s="458">
        <v>0</v>
      </c>
      <c r="L17" s="458">
        <v>0</v>
      </c>
      <c r="M17" s="458">
        <v>0</v>
      </c>
      <c r="N17" s="458">
        <f t="shared" si="3"/>
        <v>0</v>
      </c>
      <c r="O17" s="459">
        <v>0</v>
      </c>
      <c r="P17" s="459">
        <v>0</v>
      </c>
      <c r="Q17" s="459">
        <v>0</v>
      </c>
      <c r="R17" s="459">
        <f t="shared" si="0"/>
        <v>0</v>
      </c>
    </row>
    <row r="18" spans="1:18" s="457" customFormat="1" ht="15.75" customHeight="1">
      <c r="A18" s="5">
        <v>7</v>
      </c>
      <c r="B18" s="224" t="s">
        <v>837</v>
      </c>
      <c r="C18" s="458">
        <f>'AT3A_cvrg(Insti)_PY'!H17+'AT3B_cvrg(Insti)_UPY '!H17+'AT3C_cvrg(Insti)_UPY '!H17</f>
        <v>1660</v>
      </c>
      <c r="D18" s="458">
        <f>'AT3A_cvrg(Insti)_PY'!I17+'AT3B_cvrg(Insti)_UPY '!I17+'AT3C_cvrg(Insti)_UPY '!I17</f>
        <v>0</v>
      </c>
      <c r="E18" s="458">
        <v>0</v>
      </c>
      <c r="F18" s="458">
        <f t="shared" si="1"/>
        <v>1660</v>
      </c>
      <c r="G18" s="459">
        <v>1578</v>
      </c>
      <c r="H18" s="458">
        <v>0</v>
      </c>
      <c r="I18" s="458">
        <v>0</v>
      </c>
      <c r="J18" s="459">
        <f t="shared" si="2"/>
        <v>1578</v>
      </c>
      <c r="K18" s="458">
        <v>0</v>
      </c>
      <c r="L18" s="458">
        <v>0</v>
      </c>
      <c r="M18" s="458">
        <v>0</v>
      </c>
      <c r="N18" s="458">
        <f t="shared" si="3"/>
        <v>0</v>
      </c>
      <c r="O18" s="459">
        <v>0</v>
      </c>
      <c r="P18" s="459">
        <v>0</v>
      </c>
      <c r="Q18" s="459">
        <v>0</v>
      </c>
      <c r="R18" s="459">
        <f t="shared" si="0"/>
        <v>0</v>
      </c>
    </row>
    <row r="19" spans="1:18" s="457" customFormat="1" ht="15.75" customHeight="1">
      <c r="A19" s="5">
        <v>8</v>
      </c>
      <c r="B19" s="224" t="s">
        <v>838</v>
      </c>
      <c r="C19" s="458">
        <f>'AT3A_cvrg(Insti)_PY'!H18+'AT3B_cvrg(Insti)_UPY '!H18+'AT3C_cvrg(Insti)_UPY '!H18</f>
        <v>2181</v>
      </c>
      <c r="D19" s="458">
        <f>'AT3A_cvrg(Insti)_PY'!I18+'AT3B_cvrg(Insti)_UPY '!I18+'AT3C_cvrg(Insti)_UPY '!I18</f>
        <v>39</v>
      </c>
      <c r="E19" s="458">
        <v>0</v>
      </c>
      <c r="F19" s="458">
        <f t="shared" si="1"/>
        <v>2220</v>
      </c>
      <c r="G19" s="459">
        <v>2213</v>
      </c>
      <c r="H19" s="458">
        <v>40</v>
      </c>
      <c r="I19" s="458">
        <v>0</v>
      </c>
      <c r="J19" s="459">
        <f t="shared" si="2"/>
        <v>2253</v>
      </c>
      <c r="K19" s="458">
        <v>0</v>
      </c>
      <c r="L19" s="458">
        <v>0</v>
      </c>
      <c r="M19" s="458">
        <v>0</v>
      </c>
      <c r="N19" s="458">
        <f t="shared" si="3"/>
        <v>0</v>
      </c>
      <c r="O19" s="459">
        <v>0</v>
      </c>
      <c r="P19" s="459">
        <v>0</v>
      </c>
      <c r="Q19" s="459">
        <v>0</v>
      </c>
      <c r="R19" s="459">
        <f t="shared" si="0"/>
        <v>0</v>
      </c>
    </row>
    <row r="20" spans="1:18" s="457" customFormat="1" ht="15.75" customHeight="1">
      <c r="A20" s="5">
        <v>9</v>
      </c>
      <c r="B20" s="224" t="s">
        <v>839</v>
      </c>
      <c r="C20" s="458">
        <f>'AT3A_cvrg(Insti)_PY'!H19+'AT3B_cvrg(Insti)_UPY '!H19+'AT3C_cvrg(Insti)_UPY '!H19</f>
        <v>2566</v>
      </c>
      <c r="D20" s="458">
        <f>'AT3A_cvrg(Insti)_PY'!I19+'AT3B_cvrg(Insti)_UPY '!I19+'AT3C_cvrg(Insti)_UPY '!I19</f>
        <v>5</v>
      </c>
      <c r="E20" s="458">
        <v>0</v>
      </c>
      <c r="F20" s="458">
        <f t="shared" si="1"/>
        <v>2571</v>
      </c>
      <c r="G20" s="459">
        <v>2383</v>
      </c>
      <c r="H20" s="458">
        <v>0</v>
      </c>
      <c r="I20" s="458">
        <v>0</v>
      </c>
      <c r="J20" s="459">
        <f t="shared" si="2"/>
        <v>2383</v>
      </c>
      <c r="K20" s="458">
        <v>0</v>
      </c>
      <c r="L20" s="458">
        <v>0</v>
      </c>
      <c r="M20" s="458">
        <v>0</v>
      </c>
      <c r="N20" s="458">
        <f t="shared" si="3"/>
        <v>0</v>
      </c>
      <c r="O20" s="459">
        <v>0</v>
      </c>
      <c r="P20" s="459">
        <v>0</v>
      </c>
      <c r="Q20" s="459">
        <v>0</v>
      </c>
      <c r="R20" s="459">
        <f t="shared" si="0"/>
        <v>0</v>
      </c>
    </row>
    <row r="21" spans="1:18" s="457" customFormat="1" ht="15.75" customHeight="1">
      <c r="A21" s="5">
        <v>10</v>
      </c>
      <c r="B21" s="224" t="s">
        <v>840</v>
      </c>
      <c r="C21" s="458">
        <f>'AT3A_cvrg(Insti)_PY'!H20+'AT3B_cvrg(Insti)_UPY '!H20+'AT3C_cvrg(Insti)_UPY '!H20</f>
        <v>1162</v>
      </c>
      <c r="D21" s="458">
        <f>'AT3A_cvrg(Insti)_PY'!I20+'AT3B_cvrg(Insti)_UPY '!I20+'AT3C_cvrg(Insti)_UPY '!I20</f>
        <v>13</v>
      </c>
      <c r="E21" s="458">
        <v>0</v>
      </c>
      <c r="F21" s="458">
        <f t="shared" si="1"/>
        <v>1175</v>
      </c>
      <c r="G21" s="459">
        <v>1118</v>
      </c>
      <c r="H21" s="458">
        <v>1</v>
      </c>
      <c r="I21" s="458">
        <v>0</v>
      </c>
      <c r="J21" s="459">
        <f t="shared" si="2"/>
        <v>1119</v>
      </c>
      <c r="K21" s="458">
        <v>0</v>
      </c>
      <c r="L21" s="458">
        <v>0</v>
      </c>
      <c r="M21" s="458">
        <v>0</v>
      </c>
      <c r="N21" s="458">
        <f t="shared" si="3"/>
        <v>0</v>
      </c>
      <c r="O21" s="459">
        <v>0</v>
      </c>
      <c r="P21" s="459">
        <v>0</v>
      </c>
      <c r="Q21" s="459">
        <v>0</v>
      </c>
      <c r="R21" s="459">
        <f t="shared" si="0"/>
        <v>0</v>
      </c>
    </row>
    <row r="22" spans="1:18" s="457" customFormat="1" ht="15.75" customHeight="1">
      <c r="A22" s="5">
        <v>11</v>
      </c>
      <c r="B22" s="224" t="s">
        <v>841</v>
      </c>
      <c r="C22" s="458">
        <f>'AT3A_cvrg(Insti)_PY'!H21+'AT3B_cvrg(Insti)_UPY '!H21+'AT3C_cvrg(Insti)_UPY '!H21</f>
        <v>1503</v>
      </c>
      <c r="D22" s="458">
        <f>'AT3A_cvrg(Insti)_PY'!I21+'AT3B_cvrg(Insti)_UPY '!I21+'AT3C_cvrg(Insti)_UPY '!I21</f>
        <v>4</v>
      </c>
      <c r="E22" s="458">
        <v>0</v>
      </c>
      <c r="F22" s="458">
        <f t="shared" si="1"/>
        <v>1507</v>
      </c>
      <c r="G22" s="459">
        <v>1423</v>
      </c>
      <c r="H22" s="458">
        <v>0</v>
      </c>
      <c r="I22" s="458">
        <v>0</v>
      </c>
      <c r="J22" s="459">
        <f t="shared" si="2"/>
        <v>1423</v>
      </c>
      <c r="K22" s="458">
        <v>0</v>
      </c>
      <c r="L22" s="458">
        <v>0</v>
      </c>
      <c r="M22" s="458">
        <v>0</v>
      </c>
      <c r="N22" s="458">
        <f t="shared" si="3"/>
        <v>0</v>
      </c>
      <c r="O22" s="459">
        <v>0</v>
      </c>
      <c r="P22" s="459">
        <v>0</v>
      </c>
      <c r="Q22" s="459">
        <v>0</v>
      </c>
      <c r="R22" s="459">
        <f t="shared" si="0"/>
        <v>0</v>
      </c>
    </row>
    <row r="23" spans="1:18" s="457" customFormat="1" ht="15.75" customHeight="1">
      <c r="A23" s="5">
        <v>12</v>
      </c>
      <c r="B23" s="224" t="s">
        <v>842</v>
      </c>
      <c r="C23" s="458">
        <f>'AT3A_cvrg(Insti)_PY'!H22+'AT3B_cvrg(Insti)_UPY '!H22+'AT3C_cvrg(Insti)_UPY '!H22</f>
        <v>1550</v>
      </c>
      <c r="D23" s="458">
        <f>'AT3A_cvrg(Insti)_PY'!I22+'AT3B_cvrg(Insti)_UPY '!I22+'AT3C_cvrg(Insti)_UPY '!I22</f>
        <v>25</v>
      </c>
      <c r="E23" s="458">
        <v>0</v>
      </c>
      <c r="F23" s="458">
        <f t="shared" si="1"/>
        <v>1575</v>
      </c>
      <c r="G23" s="459">
        <v>1503</v>
      </c>
      <c r="H23" s="458">
        <v>0</v>
      </c>
      <c r="I23" s="458">
        <v>0</v>
      </c>
      <c r="J23" s="459">
        <f t="shared" si="2"/>
        <v>1503</v>
      </c>
      <c r="K23" s="458">
        <v>0</v>
      </c>
      <c r="L23" s="458">
        <v>0</v>
      </c>
      <c r="M23" s="458">
        <v>0</v>
      </c>
      <c r="N23" s="458">
        <f t="shared" si="3"/>
        <v>0</v>
      </c>
      <c r="O23" s="459">
        <v>0</v>
      </c>
      <c r="P23" s="459">
        <v>0</v>
      </c>
      <c r="Q23" s="459">
        <v>0</v>
      </c>
      <c r="R23" s="459">
        <f t="shared" si="0"/>
        <v>0</v>
      </c>
    </row>
    <row r="24" spans="1:18" s="457" customFormat="1" ht="15.75" customHeight="1">
      <c r="A24" s="5">
        <v>13</v>
      </c>
      <c r="B24" s="224" t="s">
        <v>843</v>
      </c>
      <c r="C24" s="458">
        <f>'AT3A_cvrg(Insti)_PY'!H23+'AT3B_cvrg(Insti)_UPY '!H23+'AT3C_cvrg(Insti)_UPY '!H23</f>
        <v>696</v>
      </c>
      <c r="D24" s="458">
        <f>'AT3A_cvrg(Insti)_PY'!I23+'AT3B_cvrg(Insti)_UPY '!I23+'AT3C_cvrg(Insti)_UPY '!I23</f>
        <v>3</v>
      </c>
      <c r="E24" s="458">
        <v>0</v>
      </c>
      <c r="F24" s="458">
        <f t="shared" si="1"/>
        <v>699</v>
      </c>
      <c r="G24" s="459">
        <v>748</v>
      </c>
      <c r="H24" s="458">
        <v>0</v>
      </c>
      <c r="I24" s="458">
        <v>0</v>
      </c>
      <c r="J24" s="459">
        <f t="shared" si="2"/>
        <v>748</v>
      </c>
      <c r="K24" s="458">
        <v>0</v>
      </c>
      <c r="L24" s="458">
        <v>0</v>
      </c>
      <c r="M24" s="458">
        <v>0</v>
      </c>
      <c r="N24" s="458">
        <f t="shared" si="3"/>
        <v>0</v>
      </c>
      <c r="O24" s="459">
        <v>0</v>
      </c>
      <c r="P24" s="459">
        <v>0</v>
      </c>
      <c r="Q24" s="459">
        <v>0</v>
      </c>
      <c r="R24" s="459">
        <v>0</v>
      </c>
    </row>
    <row r="25" spans="1:18" s="457" customFormat="1" ht="15.75" customHeight="1">
      <c r="A25" s="5">
        <v>14</v>
      </c>
      <c r="B25" s="224" t="s">
        <v>844</v>
      </c>
      <c r="C25" s="458">
        <f>'AT3A_cvrg(Insti)_PY'!H24+'AT3B_cvrg(Insti)_UPY '!H24+'AT3C_cvrg(Insti)_UPY '!H24</f>
        <v>723</v>
      </c>
      <c r="D25" s="458">
        <f>'AT3A_cvrg(Insti)_PY'!I24+'AT3B_cvrg(Insti)_UPY '!I24+'AT3C_cvrg(Insti)_UPY '!I24</f>
        <v>0</v>
      </c>
      <c r="E25" s="458">
        <v>0</v>
      </c>
      <c r="F25" s="458">
        <f t="shared" si="1"/>
        <v>723</v>
      </c>
      <c r="G25" s="459">
        <v>771</v>
      </c>
      <c r="H25" s="458">
        <v>0</v>
      </c>
      <c r="I25" s="458">
        <v>0</v>
      </c>
      <c r="J25" s="459">
        <f t="shared" si="2"/>
        <v>771</v>
      </c>
      <c r="K25" s="458">
        <v>0</v>
      </c>
      <c r="L25" s="458">
        <v>0</v>
      </c>
      <c r="M25" s="458">
        <v>0</v>
      </c>
      <c r="N25" s="458">
        <f t="shared" si="3"/>
        <v>0</v>
      </c>
      <c r="O25" s="459">
        <v>0</v>
      </c>
      <c r="P25" s="459">
        <v>0</v>
      </c>
      <c r="Q25" s="459">
        <v>0</v>
      </c>
      <c r="R25" s="459">
        <f t="shared" si="0"/>
        <v>0</v>
      </c>
    </row>
    <row r="26" spans="1:18" s="457" customFormat="1" ht="15.75" customHeight="1">
      <c r="A26" s="5">
        <v>15</v>
      </c>
      <c r="B26" s="224" t="s">
        <v>845</v>
      </c>
      <c r="C26" s="458">
        <f>'AT3A_cvrg(Insti)_PY'!H25+'AT3B_cvrg(Insti)_UPY '!H25+'AT3C_cvrg(Insti)_UPY '!H25</f>
        <v>1790</v>
      </c>
      <c r="D26" s="458">
        <f>'AT3A_cvrg(Insti)_PY'!I25+'AT3B_cvrg(Insti)_UPY '!I25+'AT3C_cvrg(Insti)_UPY '!I25</f>
        <v>1</v>
      </c>
      <c r="E26" s="458">
        <v>0</v>
      </c>
      <c r="F26" s="458">
        <f t="shared" si="1"/>
        <v>1791</v>
      </c>
      <c r="G26" s="459">
        <v>1828</v>
      </c>
      <c r="H26" s="458">
        <v>1</v>
      </c>
      <c r="I26" s="458">
        <v>0</v>
      </c>
      <c r="J26" s="459">
        <f t="shared" si="2"/>
        <v>1829</v>
      </c>
      <c r="K26" s="458">
        <v>0</v>
      </c>
      <c r="L26" s="458">
        <v>0</v>
      </c>
      <c r="M26" s="458">
        <v>0</v>
      </c>
      <c r="N26" s="458">
        <f t="shared" si="3"/>
        <v>0</v>
      </c>
      <c r="O26" s="459">
        <v>0</v>
      </c>
      <c r="P26" s="459">
        <v>0</v>
      </c>
      <c r="Q26" s="459">
        <v>0</v>
      </c>
      <c r="R26" s="459">
        <f t="shared" si="0"/>
        <v>0</v>
      </c>
    </row>
    <row r="27" spans="1:18" s="457" customFormat="1" ht="15.75" customHeight="1">
      <c r="A27" s="5">
        <v>16</v>
      </c>
      <c r="B27" s="224" t="s">
        <v>846</v>
      </c>
      <c r="C27" s="458">
        <f>'AT3A_cvrg(Insti)_PY'!H26+'AT3B_cvrg(Insti)_UPY '!H26+'AT3C_cvrg(Insti)_UPY '!H26</f>
        <v>3324</v>
      </c>
      <c r="D27" s="458">
        <f>'AT3A_cvrg(Insti)_PY'!I26+'AT3B_cvrg(Insti)_UPY '!I26+'AT3C_cvrg(Insti)_UPY '!I26</f>
        <v>29</v>
      </c>
      <c r="E27" s="458">
        <v>0</v>
      </c>
      <c r="F27" s="458">
        <f t="shared" si="1"/>
        <v>3353</v>
      </c>
      <c r="G27" s="459">
        <v>3100</v>
      </c>
      <c r="H27" s="458">
        <v>0</v>
      </c>
      <c r="I27" s="458">
        <v>0</v>
      </c>
      <c r="J27" s="459">
        <f t="shared" si="2"/>
        <v>3100</v>
      </c>
      <c r="K27" s="458">
        <v>0</v>
      </c>
      <c r="L27" s="458">
        <v>0</v>
      </c>
      <c r="M27" s="458">
        <v>0</v>
      </c>
      <c r="N27" s="458">
        <f t="shared" si="3"/>
        <v>0</v>
      </c>
      <c r="O27" s="459">
        <v>0</v>
      </c>
      <c r="P27" s="459">
        <v>0</v>
      </c>
      <c r="Q27" s="459">
        <v>0</v>
      </c>
      <c r="R27" s="459">
        <f t="shared" si="0"/>
        <v>0</v>
      </c>
    </row>
    <row r="28" spans="1:18" s="457" customFormat="1" ht="15.75" customHeight="1">
      <c r="A28" s="5">
        <v>17</v>
      </c>
      <c r="B28" s="224" t="s">
        <v>847</v>
      </c>
      <c r="C28" s="458">
        <f>'AT3A_cvrg(Insti)_PY'!H27+'AT3B_cvrg(Insti)_UPY '!H27+'AT3C_cvrg(Insti)_UPY '!H27</f>
        <v>1818</v>
      </c>
      <c r="D28" s="458">
        <f>'AT3A_cvrg(Insti)_PY'!I27+'AT3B_cvrg(Insti)_UPY '!I27+'AT3C_cvrg(Insti)_UPY '!I27</f>
        <v>12</v>
      </c>
      <c r="E28" s="458">
        <v>0</v>
      </c>
      <c r="F28" s="458">
        <f t="shared" si="1"/>
        <v>1830</v>
      </c>
      <c r="G28" s="459">
        <v>1905</v>
      </c>
      <c r="H28" s="458">
        <v>3</v>
      </c>
      <c r="I28" s="458">
        <v>0</v>
      </c>
      <c r="J28" s="459">
        <f t="shared" si="2"/>
        <v>1908</v>
      </c>
      <c r="K28" s="458">
        <v>0</v>
      </c>
      <c r="L28" s="458">
        <v>0</v>
      </c>
      <c r="M28" s="458">
        <v>0</v>
      </c>
      <c r="N28" s="458">
        <f t="shared" si="3"/>
        <v>0</v>
      </c>
      <c r="O28" s="459">
        <v>0</v>
      </c>
      <c r="P28" s="459">
        <v>0</v>
      </c>
      <c r="Q28" s="459">
        <v>0</v>
      </c>
      <c r="R28" s="459">
        <f t="shared" si="0"/>
        <v>0</v>
      </c>
    </row>
    <row r="29" spans="1:18" s="457" customFormat="1" ht="15.75" customHeight="1">
      <c r="A29" s="5">
        <v>18</v>
      </c>
      <c r="B29" s="224" t="s">
        <v>848</v>
      </c>
      <c r="C29" s="458">
        <f>'AT3A_cvrg(Insti)_PY'!H28+'AT3B_cvrg(Insti)_UPY '!H28+'AT3C_cvrg(Insti)_UPY '!H28</f>
        <v>1726</v>
      </c>
      <c r="D29" s="458">
        <f>'AT3A_cvrg(Insti)_PY'!I28+'AT3B_cvrg(Insti)_UPY '!I28+'AT3C_cvrg(Insti)_UPY '!I28</f>
        <v>2</v>
      </c>
      <c r="E29" s="458">
        <v>0</v>
      </c>
      <c r="F29" s="458">
        <f t="shared" si="1"/>
        <v>1728</v>
      </c>
      <c r="G29" s="459">
        <v>1734</v>
      </c>
      <c r="H29" s="458">
        <v>0</v>
      </c>
      <c r="I29" s="458">
        <v>0</v>
      </c>
      <c r="J29" s="459">
        <f t="shared" si="2"/>
        <v>1734</v>
      </c>
      <c r="K29" s="458">
        <v>808</v>
      </c>
      <c r="L29" s="458">
        <v>0</v>
      </c>
      <c r="M29" s="458">
        <v>0</v>
      </c>
      <c r="N29" s="458">
        <f t="shared" si="3"/>
        <v>808</v>
      </c>
      <c r="O29" s="459">
        <v>0</v>
      </c>
      <c r="P29" s="459">
        <v>0</v>
      </c>
      <c r="Q29" s="459">
        <v>0</v>
      </c>
      <c r="R29" s="459">
        <f t="shared" si="0"/>
        <v>0</v>
      </c>
    </row>
    <row r="30" spans="1:18" s="457" customFormat="1" ht="15.75" customHeight="1">
      <c r="A30" s="5">
        <v>19</v>
      </c>
      <c r="B30" s="224" t="s">
        <v>849</v>
      </c>
      <c r="C30" s="458">
        <f>'AT3A_cvrg(Insti)_PY'!H29+'AT3B_cvrg(Insti)_UPY '!H29+'AT3C_cvrg(Insti)_UPY '!H29</f>
        <v>2448</v>
      </c>
      <c r="D30" s="458">
        <f>'AT3A_cvrg(Insti)_PY'!I29+'AT3B_cvrg(Insti)_UPY '!I29+'AT3C_cvrg(Insti)_UPY '!I29</f>
        <v>21</v>
      </c>
      <c r="E30" s="458">
        <v>0</v>
      </c>
      <c r="F30" s="458">
        <f t="shared" si="1"/>
        <v>2469</v>
      </c>
      <c r="G30" s="459">
        <v>2370</v>
      </c>
      <c r="H30" s="458">
        <v>0</v>
      </c>
      <c r="I30" s="458">
        <v>0</v>
      </c>
      <c r="J30" s="459">
        <f t="shared" si="2"/>
        <v>2370</v>
      </c>
      <c r="K30" s="458">
        <v>0</v>
      </c>
      <c r="L30" s="458">
        <v>0</v>
      </c>
      <c r="M30" s="458">
        <v>0</v>
      </c>
      <c r="N30" s="458">
        <f t="shared" si="3"/>
        <v>0</v>
      </c>
      <c r="O30" s="459">
        <v>0</v>
      </c>
      <c r="P30" s="459">
        <v>0</v>
      </c>
      <c r="Q30" s="459">
        <v>0</v>
      </c>
      <c r="R30" s="459">
        <f t="shared" si="0"/>
        <v>0</v>
      </c>
    </row>
    <row r="31" spans="1:18" s="435" customFormat="1" ht="15">
      <c r="A31" s="5">
        <v>20</v>
      </c>
      <c r="B31" s="224" t="s">
        <v>850</v>
      </c>
      <c r="C31" s="458">
        <f>'AT3A_cvrg(Insti)_PY'!H30+'AT3B_cvrg(Insti)_UPY '!H30+'AT3C_cvrg(Insti)_UPY '!H30</f>
        <v>1161</v>
      </c>
      <c r="D31" s="458">
        <f>'AT3A_cvrg(Insti)_PY'!I30+'AT3B_cvrg(Insti)_UPY '!I30+'AT3C_cvrg(Insti)_UPY '!I30</f>
        <v>3</v>
      </c>
      <c r="E31" s="458">
        <v>0</v>
      </c>
      <c r="F31" s="458">
        <f t="shared" si="1"/>
        <v>1164</v>
      </c>
      <c r="G31" s="460">
        <v>1187</v>
      </c>
      <c r="H31" s="449">
        <v>0</v>
      </c>
      <c r="I31" s="449">
        <v>0</v>
      </c>
      <c r="J31" s="459">
        <f t="shared" si="2"/>
        <v>1187</v>
      </c>
      <c r="K31" s="458">
        <v>0</v>
      </c>
      <c r="L31" s="458">
        <v>0</v>
      </c>
      <c r="M31" s="458">
        <v>0</v>
      </c>
      <c r="N31" s="458">
        <f t="shared" si="3"/>
        <v>0</v>
      </c>
      <c r="O31" s="459">
        <v>0</v>
      </c>
      <c r="P31" s="459">
        <v>0</v>
      </c>
      <c r="Q31" s="459">
        <v>0</v>
      </c>
      <c r="R31" s="459">
        <f t="shared" si="0"/>
        <v>0</v>
      </c>
    </row>
    <row r="32" spans="1:18" ht="15">
      <c r="A32" s="5">
        <v>21</v>
      </c>
      <c r="B32" s="224" t="s">
        <v>851</v>
      </c>
      <c r="C32" s="458">
        <f>'AT3A_cvrg(Insti)_PY'!H31+'AT3B_cvrg(Insti)_UPY '!H31+'AT3C_cvrg(Insti)_UPY '!H31</f>
        <v>1377</v>
      </c>
      <c r="D32" s="458">
        <f>'AT3A_cvrg(Insti)_PY'!I31+'AT3B_cvrg(Insti)_UPY '!I31+'AT3C_cvrg(Insti)_UPY '!I31</f>
        <v>7</v>
      </c>
      <c r="E32" s="458">
        <v>0</v>
      </c>
      <c r="F32" s="458">
        <f t="shared" si="1"/>
        <v>1384</v>
      </c>
      <c r="G32" s="460">
        <v>1363</v>
      </c>
      <c r="H32" s="449">
        <v>0</v>
      </c>
      <c r="I32" s="449">
        <v>0</v>
      </c>
      <c r="J32" s="459">
        <f t="shared" si="2"/>
        <v>1363</v>
      </c>
      <c r="K32" s="458">
        <v>0</v>
      </c>
      <c r="L32" s="458">
        <v>0</v>
      </c>
      <c r="M32" s="458">
        <v>0</v>
      </c>
      <c r="N32" s="458">
        <f t="shared" si="3"/>
        <v>0</v>
      </c>
      <c r="O32" s="459">
        <v>0</v>
      </c>
      <c r="P32" s="459">
        <v>0</v>
      </c>
      <c r="Q32" s="459">
        <v>0</v>
      </c>
      <c r="R32" s="459">
        <f t="shared" si="0"/>
        <v>0</v>
      </c>
    </row>
    <row r="33" spans="1:18" ht="15">
      <c r="A33" s="5">
        <v>22</v>
      </c>
      <c r="B33" s="224" t="s">
        <v>852</v>
      </c>
      <c r="C33" s="458">
        <f>'AT3A_cvrg(Insti)_PY'!H32+'AT3B_cvrg(Insti)_UPY '!H32+'AT3C_cvrg(Insti)_UPY '!H32</f>
        <v>1004</v>
      </c>
      <c r="D33" s="458">
        <f>'AT3A_cvrg(Insti)_PY'!I32+'AT3B_cvrg(Insti)_UPY '!I32+'AT3C_cvrg(Insti)_UPY '!I32</f>
        <v>11</v>
      </c>
      <c r="E33" s="458">
        <v>0</v>
      </c>
      <c r="F33" s="458">
        <f t="shared" si="1"/>
        <v>1015</v>
      </c>
      <c r="G33" s="460">
        <v>996</v>
      </c>
      <c r="H33" s="449">
        <v>0</v>
      </c>
      <c r="I33" s="449">
        <v>0</v>
      </c>
      <c r="J33" s="459">
        <f t="shared" si="2"/>
        <v>996</v>
      </c>
      <c r="K33" s="458">
        <v>0</v>
      </c>
      <c r="L33" s="458">
        <v>0</v>
      </c>
      <c r="M33" s="458">
        <v>0</v>
      </c>
      <c r="N33" s="458">
        <f t="shared" si="3"/>
        <v>0</v>
      </c>
      <c r="O33" s="459">
        <v>0</v>
      </c>
      <c r="P33" s="459">
        <v>0</v>
      </c>
      <c r="Q33" s="459">
        <v>0</v>
      </c>
      <c r="R33" s="459">
        <f t="shared" si="0"/>
        <v>0</v>
      </c>
    </row>
    <row r="34" spans="1:18" ht="15">
      <c r="A34" s="5">
        <v>23</v>
      </c>
      <c r="B34" s="224" t="s">
        <v>853</v>
      </c>
      <c r="C34" s="458">
        <f>'AT3A_cvrg(Insti)_PY'!H33+'AT3B_cvrg(Insti)_UPY '!H33+'AT3C_cvrg(Insti)_UPY '!H33</f>
        <v>1656</v>
      </c>
      <c r="D34" s="458">
        <f>'AT3A_cvrg(Insti)_PY'!I33+'AT3B_cvrg(Insti)_UPY '!I33+'AT3C_cvrg(Insti)_UPY '!I33</f>
        <v>4</v>
      </c>
      <c r="E34" s="458">
        <v>0</v>
      </c>
      <c r="F34" s="458">
        <f t="shared" si="1"/>
        <v>1660</v>
      </c>
      <c r="G34" s="460">
        <v>1722</v>
      </c>
      <c r="H34" s="449">
        <v>0</v>
      </c>
      <c r="I34" s="449">
        <v>0</v>
      </c>
      <c r="J34" s="459">
        <f t="shared" si="2"/>
        <v>1722</v>
      </c>
      <c r="K34" s="458">
        <v>0</v>
      </c>
      <c r="L34" s="458">
        <v>0</v>
      </c>
      <c r="M34" s="458">
        <v>0</v>
      </c>
      <c r="N34" s="458">
        <f t="shared" si="3"/>
        <v>0</v>
      </c>
      <c r="O34" s="459">
        <v>0</v>
      </c>
      <c r="P34" s="459">
        <v>0</v>
      </c>
      <c r="Q34" s="459">
        <v>0</v>
      </c>
      <c r="R34" s="459">
        <f t="shared" si="0"/>
        <v>0</v>
      </c>
    </row>
    <row r="35" spans="1:45" s="430" customFormat="1" ht="15">
      <c r="A35" s="5">
        <v>24</v>
      </c>
      <c r="B35" s="224" t="s">
        <v>854</v>
      </c>
      <c r="C35" s="458">
        <f>'AT3A_cvrg(Insti)_PY'!H34+'AT3B_cvrg(Insti)_UPY '!H34+'AT3C_cvrg(Insti)_UPY '!H34</f>
        <v>2091</v>
      </c>
      <c r="D35" s="458">
        <f>'AT3A_cvrg(Insti)_PY'!I34+'AT3B_cvrg(Insti)_UPY '!I34+'AT3C_cvrg(Insti)_UPY '!I34</f>
        <v>0</v>
      </c>
      <c r="E35" s="458">
        <v>0</v>
      </c>
      <c r="F35" s="458">
        <f t="shared" si="1"/>
        <v>2091</v>
      </c>
      <c r="G35" s="460">
        <v>2004</v>
      </c>
      <c r="H35" s="449">
        <v>3</v>
      </c>
      <c r="I35" s="449">
        <v>0</v>
      </c>
      <c r="J35" s="459">
        <f t="shared" si="2"/>
        <v>2007</v>
      </c>
      <c r="K35" s="458">
        <v>0</v>
      </c>
      <c r="L35" s="458">
        <v>0</v>
      </c>
      <c r="M35" s="458">
        <v>0</v>
      </c>
      <c r="N35" s="458">
        <f t="shared" si="3"/>
        <v>0</v>
      </c>
      <c r="O35" s="459">
        <v>0</v>
      </c>
      <c r="P35" s="459">
        <v>0</v>
      </c>
      <c r="Q35" s="459">
        <v>0</v>
      </c>
      <c r="R35" s="459">
        <f>SUM(O35:Q35)</f>
        <v>0</v>
      </c>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row>
    <row r="36" spans="1:18" s="435" customFormat="1" ht="15.75">
      <c r="A36" s="948" t="s">
        <v>13</v>
      </c>
      <c r="B36" s="949"/>
      <c r="C36" s="461">
        <f>SUM(C12:C35)</f>
        <v>38435</v>
      </c>
      <c r="D36" s="461">
        <f>SUM(D12:D35)</f>
        <v>962</v>
      </c>
      <c r="E36" s="461">
        <f>SUM(E12:E35)</f>
        <v>0</v>
      </c>
      <c r="F36" s="461">
        <f>SUM(C36:E36)</f>
        <v>39397</v>
      </c>
      <c r="G36" s="462">
        <f>SUM(G12:G35)</f>
        <v>38424</v>
      </c>
      <c r="H36" s="461">
        <f>SUM(H12:H35)</f>
        <v>577</v>
      </c>
      <c r="I36" s="461">
        <f>SUM(I12:I35)</f>
        <v>0</v>
      </c>
      <c r="J36" s="462">
        <f>SUM(G36:I36)</f>
        <v>39001</v>
      </c>
      <c r="K36" s="461">
        <f>SUM(K12:K35)</f>
        <v>808</v>
      </c>
      <c r="L36" s="461">
        <f>SUM(L12:L35)</f>
        <v>0</v>
      </c>
      <c r="M36" s="461">
        <f>SUM(M12:M35)</f>
        <v>0</v>
      </c>
      <c r="N36" s="461">
        <f>SUM(K36:M36)</f>
        <v>808</v>
      </c>
      <c r="O36" s="437">
        <f>SUM(O12:O35)</f>
        <v>0</v>
      </c>
      <c r="P36" s="437">
        <f>SUM(P12:P35)</f>
        <v>0</v>
      </c>
      <c r="Q36" s="437">
        <f>SUM(Q12:Q35)</f>
        <v>0</v>
      </c>
      <c r="R36" s="437">
        <f>SUM(R12:R35)</f>
        <v>0</v>
      </c>
    </row>
    <row r="39" spans="1:19" s="12" customFormat="1" ht="12.75">
      <c r="A39" s="11"/>
      <c r="G39" s="11"/>
      <c r="H39" s="11"/>
      <c r="K39" s="11"/>
      <c r="L39" s="11"/>
      <c r="M39" s="11"/>
      <c r="N39" s="11"/>
      <c r="O39" s="11"/>
      <c r="P39" s="11"/>
      <c r="Q39" s="11"/>
      <c r="R39" s="68"/>
      <c r="S39" s="68"/>
    </row>
    <row r="40" spans="1:19" s="12" customFormat="1" ht="12.75" customHeight="1">
      <c r="A40" s="559" t="s">
        <v>989</v>
      </c>
      <c r="B40" s="559"/>
      <c r="C40" s="559"/>
      <c r="H40" s="239"/>
      <c r="I40" s="559" t="s">
        <v>990</v>
      </c>
      <c r="J40" s="559"/>
      <c r="K40" s="68"/>
      <c r="O40" s="29"/>
      <c r="P40" s="559" t="s">
        <v>996</v>
      </c>
      <c r="Q40" s="559"/>
      <c r="R40" s="559"/>
      <c r="S40" s="29"/>
    </row>
    <row r="41" spans="1:19" s="12" customFormat="1" ht="12.75" customHeight="1">
      <c r="A41" s="559" t="s">
        <v>991</v>
      </c>
      <c r="B41" s="559"/>
      <c r="C41" s="559"/>
      <c r="H41" s="239"/>
      <c r="I41" s="559" t="s">
        <v>992</v>
      </c>
      <c r="J41" s="559"/>
      <c r="K41" s="68"/>
      <c r="O41" s="29"/>
      <c r="P41" s="559" t="s">
        <v>993</v>
      </c>
      <c r="Q41" s="559"/>
      <c r="R41" s="559"/>
      <c r="S41" s="29"/>
    </row>
    <row r="42" spans="1:19" s="12" customFormat="1" ht="12.75">
      <c r="A42" s="559" t="s">
        <v>994</v>
      </c>
      <c r="B42" s="559"/>
      <c r="C42" s="559"/>
      <c r="H42" s="239"/>
      <c r="I42" s="559" t="s">
        <v>995</v>
      </c>
      <c r="J42" s="559"/>
      <c r="K42" s="11"/>
      <c r="O42" s="11"/>
      <c r="P42" s="559" t="s">
        <v>995</v>
      </c>
      <c r="Q42" s="559"/>
      <c r="R42" s="559"/>
      <c r="S42" s="29"/>
    </row>
  </sheetData>
  <sheetProtection/>
  <mergeCells count="20">
    <mergeCell ref="A40:C40"/>
    <mergeCell ref="I40:J40"/>
    <mergeCell ref="P40:R40"/>
    <mergeCell ref="A5:R5"/>
    <mergeCell ref="A3:R3"/>
    <mergeCell ref="A2:R2"/>
    <mergeCell ref="O9:R9"/>
    <mergeCell ref="C9:F9"/>
    <mergeCell ref="K9:N9"/>
    <mergeCell ref="G9:J9"/>
    <mergeCell ref="A42:C42"/>
    <mergeCell ref="I42:J42"/>
    <mergeCell ref="P42:R42"/>
    <mergeCell ref="A36:B36"/>
    <mergeCell ref="A7:B7"/>
    <mergeCell ref="A9:A10"/>
    <mergeCell ref="B9:B10"/>
    <mergeCell ref="A41:C41"/>
    <mergeCell ref="I41:J41"/>
    <mergeCell ref="P41:R4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63.xml><?xml version="1.0" encoding="utf-8"?>
<worksheet xmlns="http://schemas.openxmlformats.org/spreadsheetml/2006/main" xmlns:r="http://schemas.openxmlformats.org/officeDocument/2006/relationships">
  <sheetPr>
    <tabColor rgb="FF92D050"/>
    <pageSetUpPr fitToPage="1"/>
  </sheetPr>
  <dimension ref="A1:AV44"/>
  <sheetViews>
    <sheetView view="pageBreakPreview" zoomScale="70" zoomScaleNormal="55" zoomScaleSheetLayoutView="70" zoomScalePageLayoutView="0" workbookViewId="0" topLeftCell="A1">
      <selection activeCell="C12" sqref="C12:S35"/>
    </sheetView>
  </sheetViews>
  <sheetFormatPr defaultColWidth="9.140625" defaultRowHeight="12.75"/>
  <cols>
    <col min="1" max="1" width="9.140625" style="421" customWidth="1"/>
    <col min="2" max="2" width="18.00390625" style="421" customWidth="1"/>
    <col min="3" max="3" width="15.421875" style="421" customWidth="1"/>
    <col min="4" max="4" width="14.8515625" style="421" customWidth="1"/>
    <col min="5" max="5" width="11.8515625" style="421" customWidth="1"/>
    <col min="6" max="7" width="12.7109375" style="421" customWidth="1"/>
    <col min="8" max="9" width="11.00390625" style="421" customWidth="1"/>
    <col min="10" max="10" width="14.140625" style="421" customWidth="1"/>
    <col min="11" max="11" width="12.28125" style="421" customWidth="1"/>
    <col min="12" max="12" width="13.140625" style="421" customWidth="1"/>
    <col min="13" max="13" width="9.7109375" style="421" customWidth="1"/>
    <col min="14" max="14" width="12.421875" style="421" customWidth="1"/>
    <col min="15" max="15" width="12.7109375" style="421" customWidth="1"/>
    <col min="16" max="16" width="13.28125" style="421" customWidth="1"/>
    <col min="17" max="17" width="11.28125" style="421" customWidth="1"/>
    <col min="18" max="18" width="13.7109375" style="421" customWidth="1"/>
    <col min="19" max="19" width="14.8515625" style="421" customWidth="1"/>
    <col min="20" max="22" width="14.8515625" style="436" customWidth="1"/>
    <col min="23" max="23" width="12.28125" style="436" customWidth="1"/>
    <col min="24" max="25" width="9.140625" style="436" customWidth="1"/>
    <col min="26" max="16384" width="9.140625" style="421" customWidth="1"/>
  </cols>
  <sheetData>
    <row r="1" spans="3:25" s="12" customFormat="1" ht="15">
      <c r="C1" s="38"/>
      <c r="D1" s="38"/>
      <c r="E1" s="38"/>
      <c r="F1" s="38"/>
      <c r="G1" s="38"/>
      <c r="H1" s="38"/>
      <c r="J1" s="38"/>
      <c r="Q1" s="745" t="s">
        <v>547</v>
      </c>
      <c r="R1" s="745"/>
      <c r="T1" s="17"/>
      <c r="U1" s="17"/>
      <c r="V1" s="17"/>
      <c r="W1" s="17"/>
      <c r="X1" s="17"/>
      <c r="Y1" s="17"/>
    </row>
    <row r="2" spans="1:25" s="12" customFormat="1" ht="15.75">
      <c r="A2" s="590" t="s">
        <v>0</v>
      </c>
      <c r="B2" s="590"/>
      <c r="C2" s="590"/>
      <c r="D2" s="590"/>
      <c r="E2" s="590"/>
      <c r="F2" s="590"/>
      <c r="G2" s="590"/>
      <c r="H2" s="590"/>
      <c r="I2" s="590"/>
      <c r="J2" s="590"/>
      <c r="K2" s="590"/>
      <c r="L2" s="590"/>
      <c r="M2" s="590"/>
      <c r="N2" s="590"/>
      <c r="O2" s="590"/>
      <c r="P2" s="590"/>
      <c r="Q2" s="590"/>
      <c r="R2" s="590"/>
      <c r="S2" s="590"/>
      <c r="T2" s="17"/>
      <c r="U2" s="17"/>
      <c r="V2" s="17"/>
      <c r="W2" s="17"/>
      <c r="X2" s="17"/>
      <c r="Y2" s="17"/>
    </row>
    <row r="3" spans="1:25" s="12" customFormat="1" ht="20.25">
      <c r="A3" s="591" t="s">
        <v>645</v>
      </c>
      <c r="B3" s="591"/>
      <c r="C3" s="591"/>
      <c r="D3" s="591"/>
      <c r="E3" s="591"/>
      <c r="F3" s="591"/>
      <c r="G3" s="591"/>
      <c r="H3" s="591"/>
      <c r="I3" s="591"/>
      <c r="J3" s="591"/>
      <c r="K3" s="591"/>
      <c r="L3" s="591"/>
      <c r="M3" s="591"/>
      <c r="N3" s="591"/>
      <c r="O3" s="591"/>
      <c r="P3" s="591"/>
      <c r="Q3" s="591"/>
      <c r="R3" s="591"/>
      <c r="S3" s="591"/>
      <c r="T3" s="17"/>
      <c r="U3" s="17"/>
      <c r="V3" s="17"/>
      <c r="W3" s="17"/>
      <c r="X3" s="17"/>
      <c r="Y3" s="17"/>
    </row>
    <row r="4" spans="7:25" s="12" customFormat="1" ht="20.25">
      <c r="G4" s="96"/>
      <c r="H4" s="96"/>
      <c r="I4" s="96"/>
      <c r="J4" s="96"/>
      <c r="K4" s="96"/>
      <c r="L4" s="96"/>
      <c r="M4" s="96"/>
      <c r="N4" s="37"/>
      <c r="O4" s="37"/>
      <c r="P4" s="37"/>
      <c r="Q4" s="37"/>
      <c r="T4" s="17"/>
      <c r="U4" s="17"/>
      <c r="V4" s="17"/>
      <c r="W4" s="17"/>
      <c r="X4" s="17"/>
      <c r="Y4" s="17"/>
    </row>
    <row r="5" spans="1:23" ht="18">
      <c r="A5" s="952" t="s">
        <v>738</v>
      </c>
      <c r="B5" s="952"/>
      <c r="C5" s="952"/>
      <c r="D5" s="952"/>
      <c r="E5" s="952"/>
      <c r="F5" s="952"/>
      <c r="G5" s="952"/>
      <c r="H5" s="952"/>
      <c r="I5" s="952"/>
      <c r="J5" s="952"/>
      <c r="K5" s="952"/>
      <c r="L5" s="952"/>
      <c r="M5" s="952"/>
      <c r="N5" s="952"/>
      <c r="O5" s="952"/>
      <c r="P5" s="952"/>
      <c r="Q5" s="952"/>
      <c r="R5" s="952"/>
      <c r="S5" s="952"/>
      <c r="T5" s="440"/>
      <c r="U5" s="440"/>
      <c r="V5" s="440"/>
      <c r="W5" s="440"/>
    </row>
    <row r="6" spans="3:23" ht="15.75">
      <c r="C6" s="422"/>
      <c r="D6" s="441"/>
      <c r="E6" s="422"/>
      <c r="F6" s="422"/>
      <c r="G6" s="422"/>
      <c r="H6" s="422"/>
      <c r="I6" s="422"/>
      <c r="J6" s="422"/>
      <c r="K6" s="422"/>
      <c r="L6" s="422"/>
      <c r="M6" s="422"/>
      <c r="N6" s="422"/>
      <c r="O6" s="422"/>
      <c r="P6" s="422"/>
      <c r="Q6" s="422"/>
      <c r="R6" s="422"/>
      <c r="S6" s="422"/>
      <c r="T6" s="442"/>
      <c r="U6" s="442"/>
      <c r="V6" s="442"/>
      <c r="W6" s="442"/>
    </row>
    <row r="7" ht="15">
      <c r="A7" s="424" t="s">
        <v>158</v>
      </c>
    </row>
    <row r="8" spans="2:19" ht="15">
      <c r="B8" s="425"/>
      <c r="S8" s="443" t="s">
        <v>135</v>
      </c>
    </row>
    <row r="9" spans="1:25" s="423" customFormat="1" ht="32.25" customHeight="1">
      <c r="A9" s="573" t="s">
        <v>1</v>
      </c>
      <c r="B9" s="716" t="s">
        <v>2</v>
      </c>
      <c r="C9" s="716" t="s">
        <v>457</v>
      </c>
      <c r="D9" s="716"/>
      <c r="E9" s="716"/>
      <c r="F9" s="716"/>
      <c r="G9" s="716" t="s">
        <v>458</v>
      </c>
      <c r="H9" s="716"/>
      <c r="I9" s="716"/>
      <c r="J9" s="716"/>
      <c r="K9" s="716" t="s">
        <v>459</v>
      </c>
      <c r="L9" s="716"/>
      <c r="M9" s="716"/>
      <c r="N9" s="716"/>
      <c r="O9" s="716" t="s">
        <v>460</v>
      </c>
      <c r="P9" s="716"/>
      <c r="Q9" s="716"/>
      <c r="R9" s="716"/>
      <c r="S9" s="967" t="s">
        <v>156</v>
      </c>
      <c r="T9" s="445"/>
      <c r="U9" s="445"/>
      <c r="V9" s="445"/>
      <c r="W9" s="446"/>
      <c r="X9" s="446"/>
      <c r="Y9" s="446"/>
    </row>
    <row r="10" spans="1:25" s="428" customFormat="1" ht="75" customHeight="1">
      <c r="A10" s="573"/>
      <c r="B10" s="716"/>
      <c r="C10" s="107" t="s">
        <v>153</v>
      </c>
      <c r="D10" s="444" t="s">
        <v>155</v>
      </c>
      <c r="E10" s="107" t="s">
        <v>134</v>
      </c>
      <c r="F10" s="444" t="s">
        <v>154</v>
      </c>
      <c r="G10" s="107" t="s">
        <v>248</v>
      </c>
      <c r="H10" s="444" t="s">
        <v>155</v>
      </c>
      <c r="I10" s="107" t="s">
        <v>134</v>
      </c>
      <c r="J10" s="444" t="s">
        <v>154</v>
      </c>
      <c r="K10" s="107" t="s">
        <v>248</v>
      </c>
      <c r="L10" s="444" t="s">
        <v>155</v>
      </c>
      <c r="M10" s="107" t="s">
        <v>134</v>
      </c>
      <c r="N10" s="444" t="s">
        <v>154</v>
      </c>
      <c r="O10" s="107" t="s">
        <v>248</v>
      </c>
      <c r="P10" s="444" t="s">
        <v>155</v>
      </c>
      <c r="Q10" s="107" t="s">
        <v>134</v>
      </c>
      <c r="R10" s="444" t="s">
        <v>154</v>
      </c>
      <c r="S10" s="967"/>
      <c r="T10" s="445"/>
      <c r="U10" s="445"/>
      <c r="V10" s="445"/>
      <c r="W10" s="447"/>
      <c r="X10" s="447"/>
      <c r="Y10" s="447"/>
    </row>
    <row r="11" spans="1:25" s="428" customFormat="1" ht="15.75" customHeight="1">
      <c r="A11" s="5">
        <v>1</v>
      </c>
      <c r="B11" s="107">
        <v>2</v>
      </c>
      <c r="C11" s="427">
        <v>3</v>
      </c>
      <c r="D11" s="427">
        <v>4</v>
      </c>
      <c r="E11" s="427">
        <v>5</v>
      </c>
      <c r="F11" s="427">
        <v>6</v>
      </c>
      <c r="G11" s="427">
        <v>7</v>
      </c>
      <c r="H11" s="427">
        <v>8</v>
      </c>
      <c r="I11" s="427">
        <v>9</v>
      </c>
      <c r="J11" s="427">
        <v>10</v>
      </c>
      <c r="K11" s="427">
        <v>11</v>
      </c>
      <c r="L11" s="427">
        <v>12</v>
      </c>
      <c r="M11" s="427">
        <v>13</v>
      </c>
      <c r="N11" s="427">
        <v>14</v>
      </c>
      <c r="O11" s="427">
        <v>15</v>
      </c>
      <c r="P11" s="427">
        <v>16</v>
      </c>
      <c r="Q11" s="427">
        <v>17</v>
      </c>
      <c r="R11" s="427">
        <v>18</v>
      </c>
      <c r="S11" s="448">
        <v>19</v>
      </c>
      <c r="T11" s="447"/>
      <c r="U11" s="447"/>
      <c r="V11" s="447"/>
      <c r="W11" s="447"/>
      <c r="X11" s="447"/>
      <c r="Y11" s="447"/>
    </row>
    <row r="12" spans="1:25" s="428" customFormat="1" ht="15.75" customHeight="1">
      <c r="A12" s="5">
        <v>1</v>
      </c>
      <c r="B12" s="224" t="s">
        <v>831</v>
      </c>
      <c r="C12" s="958" t="s">
        <v>874</v>
      </c>
      <c r="D12" s="959"/>
      <c r="E12" s="959"/>
      <c r="F12" s="959"/>
      <c r="G12" s="959"/>
      <c r="H12" s="959"/>
      <c r="I12" s="959"/>
      <c r="J12" s="959"/>
      <c r="K12" s="959"/>
      <c r="L12" s="959"/>
      <c r="M12" s="959"/>
      <c r="N12" s="959"/>
      <c r="O12" s="959"/>
      <c r="P12" s="959"/>
      <c r="Q12" s="959"/>
      <c r="R12" s="959"/>
      <c r="S12" s="960"/>
      <c r="T12" s="450"/>
      <c r="U12" s="450"/>
      <c r="V12" s="450"/>
      <c r="W12" s="451">
        <v>49</v>
      </c>
      <c r="X12" s="447">
        <f>D12+H12+L12+P12</f>
        <v>0</v>
      </c>
      <c r="Y12" s="452">
        <f>W12-X12</f>
        <v>49</v>
      </c>
    </row>
    <row r="13" spans="1:25" s="428" customFormat="1" ht="15.75" customHeight="1">
      <c r="A13" s="5">
        <v>2</v>
      </c>
      <c r="B13" s="224" t="s">
        <v>832</v>
      </c>
      <c r="C13" s="961"/>
      <c r="D13" s="962"/>
      <c r="E13" s="962"/>
      <c r="F13" s="962"/>
      <c r="G13" s="962"/>
      <c r="H13" s="962"/>
      <c r="I13" s="962"/>
      <c r="J13" s="962"/>
      <c r="K13" s="962"/>
      <c r="L13" s="962"/>
      <c r="M13" s="962"/>
      <c r="N13" s="962"/>
      <c r="O13" s="962"/>
      <c r="P13" s="962"/>
      <c r="Q13" s="962"/>
      <c r="R13" s="962"/>
      <c r="S13" s="963"/>
      <c r="T13" s="450"/>
      <c r="U13" s="450"/>
      <c r="V13" s="450"/>
      <c r="W13" s="451">
        <v>78</v>
      </c>
      <c r="X13" s="447">
        <f aca="true" t="shared" si="0" ref="X13:X35">D13+H13+L13+P13</f>
        <v>0</v>
      </c>
      <c r="Y13" s="452">
        <f aca="true" t="shared" si="1" ref="Y13:Y35">W13-X13</f>
        <v>78</v>
      </c>
    </row>
    <row r="14" spans="1:25" s="428" customFormat="1" ht="15.75" customHeight="1">
      <c r="A14" s="5">
        <v>3</v>
      </c>
      <c r="B14" s="224" t="s">
        <v>833</v>
      </c>
      <c r="C14" s="961"/>
      <c r="D14" s="962"/>
      <c r="E14" s="962"/>
      <c r="F14" s="962"/>
      <c r="G14" s="962"/>
      <c r="H14" s="962"/>
      <c r="I14" s="962"/>
      <c r="J14" s="962"/>
      <c r="K14" s="962"/>
      <c r="L14" s="962"/>
      <c r="M14" s="962"/>
      <c r="N14" s="962"/>
      <c r="O14" s="962"/>
      <c r="P14" s="962"/>
      <c r="Q14" s="962"/>
      <c r="R14" s="962"/>
      <c r="S14" s="963"/>
      <c r="T14" s="450"/>
      <c r="U14" s="450"/>
      <c r="V14" s="450"/>
      <c r="W14" s="451">
        <v>58</v>
      </c>
      <c r="X14" s="447">
        <f t="shared" si="0"/>
        <v>0</v>
      </c>
      <c r="Y14" s="452">
        <f t="shared" si="1"/>
        <v>58</v>
      </c>
    </row>
    <row r="15" spans="1:25" s="428" customFormat="1" ht="15.75" customHeight="1">
      <c r="A15" s="5">
        <v>4</v>
      </c>
      <c r="B15" s="224" t="s">
        <v>834</v>
      </c>
      <c r="C15" s="961"/>
      <c r="D15" s="962"/>
      <c r="E15" s="962"/>
      <c r="F15" s="962"/>
      <c r="G15" s="962"/>
      <c r="H15" s="962"/>
      <c r="I15" s="962"/>
      <c r="J15" s="962"/>
      <c r="K15" s="962"/>
      <c r="L15" s="962"/>
      <c r="M15" s="962"/>
      <c r="N15" s="962"/>
      <c r="O15" s="962"/>
      <c r="P15" s="962"/>
      <c r="Q15" s="962"/>
      <c r="R15" s="962"/>
      <c r="S15" s="963"/>
      <c r="T15" s="450"/>
      <c r="U15" s="450"/>
      <c r="V15" s="450"/>
      <c r="W15" s="451">
        <v>0</v>
      </c>
      <c r="X15" s="447">
        <f t="shared" si="0"/>
        <v>0</v>
      </c>
      <c r="Y15" s="452">
        <f t="shared" si="1"/>
        <v>0</v>
      </c>
    </row>
    <row r="16" spans="1:25" s="428" customFormat="1" ht="15.75" customHeight="1">
      <c r="A16" s="5">
        <v>5</v>
      </c>
      <c r="B16" s="224" t="s">
        <v>835</v>
      </c>
      <c r="C16" s="961"/>
      <c r="D16" s="962"/>
      <c r="E16" s="962"/>
      <c r="F16" s="962"/>
      <c r="G16" s="962"/>
      <c r="H16" s="962"/>
      <c r="I16" s="962"/>
      <c r="J16" s="962"/>
      <c r="K16" s="962"/>
      <c r="L16" s="962"/>
      <c r="M16" s="962"/>
      <c r="N16" s="962"/>
      <c r="O16" s="962"/>
      <c r="P16" s="962"/>
      <c r="Q16" s="962"/>
      <c r="R16" s="962"/>
      <c r="S16" s="963"/>
      <c r="T16" s="450"/>
      <c r="U16" s="450"/>
      <c r="V16" s="450"/>
      <c r="W16" s="451">
        <v>149</v>
      </c>
      <c r="X16" s="447">
        <f t="shared" si="0"/>
        <v>0</v>
      </c>
      <c r="Y16" s="452">
        <f t="shared" si="1"/>
        <v>149</v>
      </c>
    </row>
    <row r="17" spans="1:25" s="428" customFormat="1" ht="15.75" customHeight="1">
      <c r="A17" s="5">
        <v>6</v>
      </c>
      <c r="B17" s="224" t="s">
        <v>836</v>
      </c>
      <c r="C17" s="961"/>
      <c r="D17" s="962"/>
      <c r="E17" s="962"/>
      <c r="F17" s="962"/>
      <c r="G17" s="962"/>
      <c r="H17" s="962"/>
      <c r="I17" s="962"/>
      <c r="J17" s="962"/>
      <c r="K17" s="962"/>
      <c r="L17" s="962"/>
      <c r="M17" s="962"/>
      <c r="N17" s="962"/>
      <c r="O17" s="962"/>
      <c r="P17" s="962"/>
      <c r="Q17" s="962"/>
      <c r="R17" s="962"/>
      <c r="S17" s="963"/>
      <c r="T17" s="450"/>
      <c r="U17" s="450"/>
      <c r="V17" s="450"/>
      <c r="W17" s="451">
        <v>0</v>
      </c>
      <c r="X17" s="447">
        <f t="shared" si="0"/>
        <v>0</v>
      </c>
      <c r="Y17" s="452">
        <f t="shared" si="1"/>
        <v>0</v>
      </c>
    </row>
    <row r="18" spans="1:25" s="428" customFormat="1" ht="15.75" customHeight="1">
      <c r="A18" s="5">
        <v>7</v>
      </c>
      <c r="B18" s="224" t="s">
        <v>837</v>
      </c>
      <c r="C18" s="961"/>
      <c r="D18" s="962"/>
      <c r="E18" s="962"/>
      <c r="F18" s="962"/>
      <c r="G18" s="962"/>
      <c r="H18" s="962"/>
      <c r="I18" s="962"/>
      <c r="J18" s="962"/>
      <c r="K18" s="962"/>
      <c r="L18" s="962"/>
      <c r="M18" s="962"/>
      <c r="N18" s="962"/>
      <c r="O18" s="962"/>
      <c r="P18" s="962"/>
      <c r="Q18" s="962"/>
      <c r="R18" s="962"/>
      <c r="S18" s="963"/>
      <c r="T18" s="450"/>
      <c r="U18" s="450"/>
      <c r="V18" s="450"/>
      <c r="W18" s="451">
        <v>188</v>
      </c>
      <c r="X18" s="447">
        <f t="shared" si="0"/>
        <v>0</v>
      </c>
      <c r="Y18" s="452">
        <f t="shared" si="1"/>
        <v>188</v>
      </c>
    </row>
    <row r="19" spans="1:25" s="428" customFormat="1" ht="15.75" customHeight="1">
      <c r="A19" s="5">
        <v>8</v>
      </c>
      <c r="B19" s="224" t="s">
        <v>838</v>
      </c>
      <c r="C19" s="961"/>
      <c r="D19" s="962"/>
      <c r="E19" s="962"/>
      <c r="F19" s="962"/>
      <c r="G19" s="962"/>
      <c r="H19" s="962"/>
      <c r="I19" s="962"/>
      <c r="J19" s="962"/>
      <c r="K19" s="962"/>
      <c r="L19" s="962"/>
      <c r="M19" s="962"/>
      <c r="N19" s="962"/>
      <c r="O19" s="962"/>
      <c r="P19" s="962"/>
      <c r="Q19" s="962"/>
      <c r="R19" s="962"/>
      <c r="S19" s="963"/>
      <c r="T19" s="450"/>
      <c r="U19" s="450"/>
      <c r="V19" s="450"/>
      <c r="W19" s="451">
        <v>117</v>
      </c>
      <c r="X19" s="447">
        <f t="shared" si="0"/>
        <v>0</v>
      </c>
      <c r="Y19" s="452">
        <f t="shared" si="1"/>
        <v>117</v>
      </c>
    </row>
    <row r="20" spans="1:25" s="428" customFormat="1" ht="15.75" customHeight="1">
      <c r="A20" s="5">
        <v>9</v>
      </c>
      <c r="B20" s="224" t="s">
        <v>839</v>
      </c>
      <c r="C20" s="961"/>
      <c r="D20" s="962"/>
      <c r="E20" s="962"/>
      <c r="F20" s="962"/>
      <c r="G20" s="962"/>
      <c r="H20" s="962"/>
      <c r="I20" s="962"/>
      <c r="J20" s="962"/>
      <c r="K20" s="962"/>
      <c r="L20" s="962"/>
      <c r="M20" s="962"/>
      <c r="N20" s="962"/>
      <c r="O20" s="962"/>
      <c r="P20" s="962"/>
      <c r="Q20" s="962"/>
      <c r="R20" s="962"/>
      <c r="S20" s="963"/>
      <c r="T20" s="450"/>
      <c r="U20" s="450"/>
      <c r="V20" s="450"/>
      <c r="W20" s="451">
        <v>0</v>
      </c>
      <c r="X20" s="447">
        <f t="shared" si="0"/>
        <v>0</v>
      </c>
      <c r="Y20" s="452">
        <f t="shared" si="1"/>
        <v>0</v>
      </c>
    </row>
    <row r="21" spans="1:25" s="428" customFormat="1" ht="15.75" customHeight="1">
      <c r="A21" s="5">
        <v>10</v>
      </c>
      <c r="B21" s="224" t="s">
        <v>840</v>
      </c>
      <c r="C21" s="961"/>
      <c r="D21" s="962"/>
      <c r="E21" s="962"/>
      <c r="F21" s="962"/>
      <c r="G21" s="962"/>
      <c r="H21" s="962"/>
      <c r="I21" s="962"/>
      <c r="J21" s="962"/>
      <c r="K21" s="962"/>
      <c r="L21" s="962"/>
      <c r="M21" s="962"/>
      <c r="N21" s="962"/>
      <c r="O21" s="962"/>
      <c r="P21" s="962"/>
      <c r="Q21" s="962"/>
      <c r="R21" s="962"/>
      <c r="S21" s="963"/>
      <c r="T21" s="450"/>
      <c r="U21" s="450"/>
      <c r="V21" s="450"/>
      <c r="W21" s="451">
        <v>0</v>
      </c>
      <c r="X21" s="447">
        <f t="shared" si="0"/>
        <v>0</v>
      </c>
      <c r="Y21" s="452">
        <f t="shared" si="1"/>
        <v>0</v>
      </c>
    </row>
    <row r="22" spans="1:25" s="428" customFormat="1" ht="15.75" customHeight="1">
      <c r="A22" s="5">
        <v>11</v>
      </c>
      <c r="B22" s="224" t="s">
        <v>841</v>
      </c>
      <c r="C22" s="961"/>
      <c r="D22" s="962"/>
      <c r="E22" s="962"/>
      <c r="F22" s="962"/>
      <c r="G22" s="962"/>
      <c r="H22" s="962"/>
      <c r="I22" s="962"/>
      <c r="J22" s="962"/>
      <c r="K22" s="962"/>
      <c r="L22" s="962"/>
      <c r="M22" s="962"/>
      <c r="N22" s="962"/>
      <c r="O22" s="962"/>
      <c r="P22" s="962"/>
      <c r="Q22" s="962"/>
      <c r="R22" s="962"/>
      <c r="S22" s="963"/>
      <c r="T22" s="450"/>
      <c r="U22" s="450"/>
      <c r="V22" s="450"/>
      <c r="W22" s="451">
        <v>0</v>
      </c>
      <c r="X22" s="447">
        <f t="shared" si="0"/>
        <v>0</v>
      </c>
      <c r="Y22" s="452">
        <f t="shared" si="1"/>
        <v>0</v>
      </c>
    </row>
    <row r="23" spans="1:25" s="428" customFormat="1" ht="15.75" customHeight="1">
      <c r="A23" s="5">
        <v>12</v>
      </c>
      <c r="B23" s="224" t="s">
        <v>842</v>
      </c>
      <c r="C23" s="961"/>
      <c r="D23" s="962"/>
      <c r="E23" s="962"/>
      <c r="F23" s="962"/>
      <c r="G23" s="962"/>
      <c r="H23" s="962"/>
      <c r="I23" s="962"/>
      <c r="J23" s="962"/>
      <c r="K23" s="962"/>
      <c r="L23" s="962"/>
      <c r="M23" s="962"/>
      <c r="N23" s="962"/>
      <c r="O23" s="962"/>
      <c r="P23" s="962"/>
      <c r="Q23" s="962"/>
      <c r="R23" s="962"/>
      <c r="S23" s="963"/>
      <c r="T23" s="450"/>
      <c r="U23" s="450"/>
      <c r="V23" s="450"/>
      <c r="W23" s="451">
        <v>162</v>
      </c>
      <c r="X23" s="447">
        <f t="shared" si="0"/>
        <v>0</v>
      </c>
      <c r="Y23" s="452">
        <f t="shared" si="1"/>
        <v>162</v>
      </c>
    </row>
    <row r="24" spans="1:25" s="428" customFormat="1" ht="15.75" customHeight="1">
      <c r="A24" s="5">
        <v>13</v>
      </c>
      <c r="B24" s="224" t="s">
        <v>843</v>
      </c>
      <c r="C24" s="961"/>
      <c r="D24" s="962"/>
      <c r="E24" s="962"/>
      <c r="F24" s="962"/>
      <c r="G24" s="962"/>
      <c r="H24" s="962"/>
      <c r="I24" s="962"/>
      <c r="J24" s="962"/>
      <c r="K24" s="962"/>
      <c r="L24" s="962"/>
      <c r="M24" s="962"/>
      <c r="N24" s="962"/>
      <c r="O24" s="962"/>
      <c r="P24" s="962"/>
      <c r="Q24" s="962"/>
      <c r="R24" s="962"/>
      <c r="S24" s="963"/>
      <c r="T24" s="450"/>
      <c r="U24" s="450"/>
      <c r="V24" s="450"/>
      <c r="W24" s="451">
        <v>0</v>
      </c>
      <c r="X24" s="447">
        <f t="shared" si="0"/>
        <v>0</v>
      </c>
      <c r="Y24" s="452">
        <f t="shared" si="1"/>
        <v>0</v>
      </c>
    </row>
    <row r="25" spans="1:25" s="428" customFormat="1" ht="15.75" customHeight="1">
      <c r="A25" s="5">
        <v>14</v>
      </c>
      <c r="B25" s="224" t="s">
        <v>844</v>
      </c>
      <c r="C25" s="961"/>
      <c r="D25" s="962"/>
      <c r="E25" s="962"/>
      <c r="F25" s="962"/>
      <c r="G25" s="962"/>
      <c r="H25" s="962"/>
      <c r="I25" s="962"/>
      <c r="J25" s="962"/>
      <c r="K25" s="962"/>
      <c r="L25" s="962"/>
      <c r="M25" s="962"/>
      <c r="N25" s="962"/>
      <c r="O25" s="962"/>
      <c r="P25" s="962"/>
      <c r="Q25" s="962"/>
      <c r="R25" s="962"/>
      <c r="S25" s="963"/>
      <c r="T25" s="450"/>
      <c r="U25" s="450"/>
      <c r="V25" s="450"/>
      <c r="W25" s="451">
        <v>56</v>
      </c>
      <c r="X25" s="447">
        <f t="shared" si="0"/>
        <v>0</v>
      </c>
      <c r="Y25" s="452">
        <f t="shared" si="1"/>
        <v>56</v>
      </c>
    </row>
    <row r="26" spans="1:25" s="428" customFormat="1" ht="15.75" customHeight="1">
      <c r="A26" s="5">
        <v>15</v>
      </c>
      <c r="B26" s="224" t="s">
        <v>845</v>
      </c>
      <c r="C26" s="961"/>
      <c r="D26" s="962"/>
      <c r="E26" s="962"/>
      <c r="F26" s="962"/>
      <c r="G26" s="962"/>
      <c r="H26" s="962"/>
      <c r="I26" s="962"/>
      <c r="J26" s="962"/>
      <c r="K26" s="962"/>
      <c r="L26" s="962"/>
      <c r="M26" s="962"/>
      <c r="N26" s="962"/>
      <c r="O26" s="962"/>
      <c r="P26" s="962"/>
      <c r="Q26" s="962"/>
      <c r="R26" s="962"/>
      <c r="S26" s="963"/>
      <c r="T26" s="450"/>
      <c r="U26" s="450"/>
      <c r="V26" s="450"/>
      <c r="W26" s="451">
        <v>67</v>
      </c>
      <c r="X26" s="447">
        <f t="shared" si="0"/>
        <v>0</v>
      </c>
      <c r="Y26" s="452">
        <f t="shared" si="1"/>
        <v>67</v>
      </c>
    </row>
    <row r="27" spans="1:25" s="435" customFormat="1" ht="15">
      <c r="A27" s="5">
        <v>16</v>
      </c>
      <c r="B27" s="224" t="s">
        <v>846</v>
      </c>
      <c r="C27" s="961"/>
      <c r="D27" s="962"/>
      <c r="E27" s="962"/>
      <c r="F27" s="962"/>
      <c r="G27" s="962"/>
      <c r="H27" s="962"/>
      <c r="I27" s="962"/>
      <c r="J27" s="962"/>
      <c r="K27" s="962"/>
      <c r="L27" s="962"/>
      <c r="M27" s="962"/>
      <c r="N27" s="962"/>
      <c r="O27" s="962"/>
      <c r="P27" s="962"/>
      <c r="Q27" s="962"/>
      <c r="R27" s="962"/>
      <c r="S27" s="963"/>
      <c r="T27" s="450"/>
      <c r="U27" s="450"/>
      <c r="V27" s="450"/>
      <c r="W27" s="451">
        <v>100</v>
      </c>
      <c r="X27" s="447">
        <f t="shared" si="0"/>
        <v>0</v>
      </c>
      <c r="Y27" s="452">
        <f t="shared" si="1"/>
        <v>100</v>
      </c>
    </row>
    <row r="28" spans="1:25" s="435" customFormat="1" ht="15">
      <c r="A28" s="5">
        <v>17</v>
      </c>
      <c r="B28" s="224" t="s">
        <v>847</v>
      </c>
      <c r="C28" s="961"/>
      <c r="D28" s="962"/>
      <c r="E28" s="962"/>
      <c r="F28" s="962"/>
      <c r="G28" s="962"/>
      <c r="H28" s="962"/>
      <c r="I28" s="962"/>
      <c r="J28" s="962"/>
      <c r="K28" s="962"/>
      <c r="L28" s="962"/>
      <c r="M28" s="962"/>
      <c r="N28" s="962"/>
      <c r="O28" s="962"/>
      <c r="P28" s="962"/>
      <c r="Q28" s="962"/>
      <c r="R28" s="962"/>
      <c r="S28" s="963"/>
      <c r="T28" s="450"/>
      <c r="U28" s="450"/>
      <c r="V28" s="450"/>
      <c r="W28" s="451">
        <v>356</v>
      </c>
      <c r="X28" s="447">
        <f t="shared" si="0"/>
        <v>0</v>
      </c>
      <c r="Y28" s="452">
        <f t="shared" si="1"/>
        <v>356</v>
      </c>
    </row>
    <row r="29" spans="1:25" s="435" customFormat="1" ht="15">
      <c r="A29" s="5">
        <v>18</v>
      </c>
      <c r="B29" s="224" t="s">
        <v>848</v>
      </c>
      <c r="C29" s="961"/>
      <c r="D29" s="962"/>
      <c r="E29" s="962"/>
      <c r="F29" s="962"/>
      <c r="G29" s="962"/>
      <c r="H29" s="962"/>
      <c r="I29" s="962"/>
      <c r="J29" s="962"/>
      <c r="K29" s="962"/>
      <c r="L29" s="962"/>
      <c r="M29" s="962"/>
      <c r="N29" s="962"/>
      <c r="O29" s="962"/>
      <c r="P29" s="962"/>
      <c r="Q29" s="962"/>
      <c r="R29" s="962"/>
      <c r="S29" s="963"/>
      <c r="T29" s="450"/>
      <c r="U29" s="450"/>
      <c r="V29" s="450"/>
      <c r="W29" s="451">
        <v>0</v>
      </c>
      <c r="X29" s="447">
        <f t="shared" si="0"/>
        <v>0</v>
      </c>
      <c r="Y29" s="452">
        <f t="shared" si="1"/>
        <v>0</v>
      </c>
    </row>
    <row r="30" spans="1:25" ht="15">
      <c r="A30" s="5">
        <v>19</v>
      </c>
      <c r="B30" s="224" t="s">
        <v>849</v>
      </c>
      <c r="C30" s="961"/>
      <c r="D30" s="962"/>
      <c r="E30" s="962"/>
      <c r="F30" s="962"/>
      <c r="G30" s="962"/>
      <c r="H30" s="962"/>
      <c r="I30" s="962"/>
      <c r="J30" s="962"/>
      <c r="K30" s="962"/>
      <c r="L30" s="962"/>
      <c r="M30" s="962"/>
      <c r="N30" s="962"/>
      <c r="O30" s="962"/>
      <c r="P30" s="962"/>
      <c r="Q30" s="962"/>
      <c r="R30" s="962"/>
      <c r="S30" s="963"/>
      <c r="T30" s="450"/>
      <c r="U30" s="450"/>
      <c r="V30" s="450"/>
      <c r="W30" s="451">
        <v>244</v>
      </c>
      <c r="X30" s="447">
        <f t="shared" si="0"/>
        <v>0</v>
      </c>
      <c r="Y30" s="452">
        <f t="shared" si="1"/>
        <v>244</v>
      </c>
    </row>
    <row r="31" spans="1:48" s="433" customFormat="1" ht="15">
      <c r="A31" s="5">
        <v>20</v>
      </c>
      <c r="B31" s="224" t="s">
        <v>850</v>
      </c>
      <c r="C31" s="961"/>
      <c r="D31" s="962"/>
      <c r="E31" s="962"/>
      <c r="F31" s="962"/>
      <c r="G31" s="962"/>
      <c r="H31" s="962"/>
      <c r="I31" s="962"/>
      <c r="J31" s="962"/>
      <c r="K31" s="962"/>
      <c r="L31" s="962"/>
      <c r="M31" s="962"/>
      <c r="N31" s="962"/>
      <c r="O31" s="962"/>
      <c r="P31" s="962"/>
      <c r="Q31" s="962"/>
      <c r="R31" s="962"/>
      <c r="S31" s="963"/>
      <c r="T31" s="450"/>
      <c r="U31" s="450"/>
      <c r="V31" s="450"/>
      <c r="W31" s="451">
        <v>264</v>
      </c>
      <c r="X31" s="447">
        <f t="shared" si="0"/>
        <v>0</v>
      </c>
      <c r="Y31" s="452">
        <f t="shared" si="1"/>
        <v>264</v>
      </c>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row>
    <row r="32" spans="1:25" ht="15">
      <c r="A32" s="5">
        <v>21</v>
      </c>
      <c r="B32" s="224" t="s">
        <v>851</v>
      </c>
      <c r="C32" s="961"/>
      <c r="D32" s="962"/>
      <c r="E32" s="962"/>
      <c r="F32" s="962"/>
      <c r="G32" s="962"/>
      <c r="H32" s="962"/>
      <c r="I32" s="962"/>
      <c r="J32" s="962"/>
      <c r="K32" s="962"/>
      <c r="L32" s="962"/>
      <c r="M32" s="962"/>
      <c r="N32" s="962"/>
      <c r="O32" s="962"/>
      <c r="P32" s="962"/>
      <c r="Q32" s="962"/>
      <c r="R32" s="962"/>
      <c r="S32" s="963"/>
      <c r="T32" s="450"/>
      <c r="U32" s="450"/>
      <c r="V32" s="450"/>
      <c r="W32" s="451">
        <v>173</v>
      </c>
      <c r="X32" s="447">
        <f t="shared" si="0"/>
        <v>0</v>
      </c>
      <c r="Y32" s="452">
        <f t="shared" si="1"/>
        <v>173</v>
      </c>
    </row>
    <row r="33" spans="1:25" ht="15">
      <c r="A33" s="5">
        <v>22</v>
      </c>
      <c r="B33" s="224" t="s">
        <v>852</v>
      </c>
      <c r="C33" s="961"/>
      <c r="D33" s="962"/>
      <c r="E33" s="962"/>
      <c r="F33" s="962"/>
      <c r="G33" s="962"/>
      <c r="H33" s="962"/>
      <c r="I33" s="962"/>
      <c r="J33" s="962"/>
      <c r="K33" s="962"/>
      <c r="L33" s="962"/>
      <c r="M33" s="962"/>
      <c r="N33" s="962"/>
      <c r="O33" s="962"/>
      <c r="P33" s="962"/>
      <c r="Q33" s="962"/>
      <c r="R33" s="962"/>
      <c r="S33" s="963"/>
      <c r="T33" s="450"/>
      <c r="U33" s="450"/>
      <c r="V33" s="450"/>
      <c r="W33" s="451">
        <v>128</v>
      </c>
      <c r="X33" s="447">
        <f t="shared" si="0"/>
        <v>0</v>
      </c>
      <c r="Y33" s="452">
        <f t="shared" si="1"/>
        <v>128</v>
      </c>
    </row>
    <row r="34" spans="1:25" ht="15">
      <c r="A34" s="5">
        <v>23</v>
      </c>
      <c r="B34" s="224" t="s">
        <v>853</v>
      </c>
      <c r="C34" s="961"/>
      <c r="D34" s="962"/>
      <c r="E34" s="962"/>
      <c r="F34" s="962"/>
      <c r="G34" s="962"/>
      <c r="H34" s="962"/>
      <c r="I34" s="962"/>
      <c r="J34" s="962"/>
      <c r="K34" s="962"/>
      <c r="L34" s="962"/>
      <c r="M34" s="962"/>
      <c r="N34" s="962"/>
      <c r="O34" s="962"/>
      <c r="P34" s="962"/>
      <c r="Q34" s="962"/>
      <c r="R34" s="962"/>
      <c r="S34" s="963"/>
      <c r="T34" s="450"/>
      <c r="U34" s="450"/>
      <c r="V34" s="450"/>
      <c r="W34" s="451">
        <v>218</v>
      </c>
      <c r="X34" s="447">
        <f t="shared" si="0"/>
        <v>0</v>
      </c>
      <c r="Y34" s="452">
        <f t="shared" si="1"/>
        <v>218</v>
      </c>
    </row>
    <row r="35" spans="1:25" ht="15">
      <c r="A35" s="5">
        <v>24</v>
      </c>
      <c r="B35" s="224" t="s">
        <v>854</v>
      </c>
      <c r="C35" s="964"/>
      <c r="D35" s="965"/>
      <c r="E35" s="965"/>
      <c r="F35" s="965"/>
      <c r="G35" s="965"/>
      <c r="H35" s="965"/>
      <c r="I35" s="965"/>
      <c r="J35" s="965"/>
      <c r="K35" s="965"/>
      <c r="L35" s="965"/>
      <c r="M35" s="965"/>
      <c r="N35" s="965"/>
      <c r="O35" s="965"/>
      <c r="P35" s="965"/>
      <c r="Q35" s="965"/>
      <c r="R35" s="965"/>
      <c r="S35" s="966"/>
      <c r="T35" s="450"/>
      <c r="U35" s="450"/>
      <c r="V35" s="450"/>
      <c r="W35" s="451">
        <v>190</v>
      </c>
      <c r="X35" s="447">
        <f t="shared" si="0"/>
        <v>0</v>
      </c>
      <c r="Y35" s="452">
        <f t="shared" si="1"/>
        <v>190</v>
      </c>
    </row>
    <row r="36" spans="1:25" s="423" customFormat="1" ht="15">
      <c r="A36" s="957" t="s">
        <v>13</v>
      </c>
      <c r="B36" s="957"/>
      <c r="C36" s="437"/>
      <c r="D36" s="437"/>
      <c r="E36" s="437"/>
      <c r="F36" s="454"/>
      <c r="G36" s="437"/>
      <c r="H36" s="437"/>
      <c r="I36" s="437"/>
      <c r="J36" s="454"/>
      <c r="K36" s="437"/>
      <c r="L36" s="437"/>
      <c r="M36" s="437"/>
      <c r="N36" s="454"/>
      <c r="O36" s="437"/>
      <c r="P36" s="437"/>
      <c r="Q36" s="437"/>
      <c r="R36" s="454"/>
      <c r="S36" s="455"/>
      <c r="T36" s="456">
        <f>60/100*S36</f>
        <v>0</v>
      </c>
      <c r="U36" s="456">
        <f>40/100*S36</f>
        <v>0</v>
      </c>
      <c r="V36" s="456"/>
      <c r="W36" s="446"/>
      <c r="X36" s="446"/>
      <c r="Y36" s="446"/>
    </row>
    <row r="37" spans="1:19" ht="15">
      <c r="A37" s="446" t="s">
        <v>495</v>
      </c>
      <c r="B37" s="436"/>
      <c r="C37" s="436"/>
      <c r="D37" s="436"/>
      <c r="E37" s="436"/>
      <c r="F37" s="436"/>
      <c r="G37" s="436"/>
      <c r="H37" s="436"/>
      <c r="I37" s="436"/>
      <c r="J37" s="436"/>
      <c r="K37" s="436"/>
      <c r="L37" s="436"/>
      <c r="M37" s="436"/>
      <c r="N37" s="436"/>
      <c r="O37" s="436"/>
      <c r="P37" s="436"/>
      <c r="Q37" s="436"/>
      <c r="R37" s="436"/>
      <c r="S37" s="436"/>
    </row>
    <row r="38" spans="1:25" s="12" customFormat="1" ht="12.75">
      <c r="A38" s="11"/>
      <c r="G38" s="11"/>
      <c r="H38" s="11"/>
      <c r="K38" s="11"/>
      <c r="L38" s="11"/>
      <c r="M38" s="11"/>
      <c r="N38" s="11"/>
      <c r="O38" s="11"/>
      <c r="P38" s="11"/>
      <c r="Q38" s="11"/>
      <c r="R38" s="68"/>
      <c r="S38" s="68"/>
      <c r="T38" s="90"/>
      <c r="U38" s="90"/>
      <c r="V38" s="90"/>
      <c r="W38" s="17"/>
      <c r="X38" s="17"/>
      <c r="Y38" s="17"/>
    </row>
    <row r="39" spans="10:25" s="12" customFormat="1" ht="12.75" customHeight="1">
      <c r="J39" s="11"/>
      <c r="K39" s="29"/>
      <c r="L39" s="29"/>
      <c r="M39" s="29"/>
      <c r="N39" s="29"/>
      <c r="O39" s="29"/>
      <c r="P39" s="29"/>
      <c r="Q39" s="29"/>
      <c r="R39" s="29"/>
      <c r="S39" s="29"/>
      <c r="T39" s="13"/>
      <c r="U39" s="13"/>
      <c r="V39" s="13"/>
      <c r="W39" s="17"/>
      <c r="X39" s="17"/>
      <c r="Y39" s="17"/>
    </row>
    <row r="40" spans="10:25" s="12" customFormat="1" ht="12.75" customHeight="1">
      <c r="J40" s="29"/>
      <c r="K40" s="29"/>
      <c r="L40" s="29"/>
      <c r="M40" s="29"/>
      <c r="N40" s="29"/>
      <c r="O40" s="29"/>
      <c r="P40" s="29"/>
      <c r="Q40" s="29"/>
      <c r="R40" s="29"/>
      <c r="S40" s="29"/>
      <c r="T40" s="13"/>
      <c r="U40" s="13"/>
      <c r="V40" s="13"/>
      <c r="W40" s="17"/>
      <c r="X40" s="17"/>
      <c r="Y40" s="17"/>
    </row>
    <row r="41" spans="1:25" s="12" customFormat="1" ht="12.75">
      <c r="A41" s="11"/>
      <c r="B41" s="11"/>
      <c r="K41" s="11"/>
      <c r="L41" s="11"/>
      <c r="M41" s="11"/>
      <c r="N41" s="11"/>
      <c r="O41" s="11"/>
      <c r="P41" s="11"/>
      <c r="Q41" s="29"/>
      <c r="R41" s="29"/>
      <c r="S41" s="29"/>
      <c r="T41" s="176"/>
      <c r="U41" s="176"/>
      <c r="V41" s="176"/>
      <c r="W41" s="17"/>
      <c r="X41" s="17"/>
      <c r="Y41" s="17"/>
    </row>
    <row r="42" spans="1:18" ht="15">
      <c r="A42" s="559" t="s">
        <v>989</v>
      </c>
      <c r="B42" s="559"/>
      <c r="C42" s="559"/>
      <c r="D42" s="12"/>
      <c r="E42" s="12"/>
      <c r="F42" s="12"/>
      <c r="G42" s="12"/>
      <c r="H42" s="239"/>
      <c r="I42" s="559" t="s">
        <v>990</v>
      </c>
      <c r="J42" s="559"/>
      <c r="K42" s="68"/>
      <c r="L42" s="12"/>
      <c r="M42" s="12"/>
      <c r="N42" s="12"/>
      <c r="O42" s="29"/>
      <c r="P42" s="559" t="s">
        <v>996</v>
      </c>
      <c r="Q42" s="559"/>
      <c r="R42" s="559"/>
    </row>
    <row r="43" spans="1:18" ht="15">
      <c r="A43" s="559" t="s">
        <v>991</v>
      </c>
      <c r="B43" s="559"/>
      <c r="C43" s="559"/>
      <c r="D43" s="12"/>
      <c r="E43" s="12"/>
      <c r="F43" s="12"/>
      <c r="G43" s="12"/>
      <c r="H43" s="239"/>
      <c r="I43" s="559" t="s">
        <v>992</v>
      </c>
      <c r="J43" s="559"/>
      <c r="K43" s="68"/>
      <c r="L43" s="12"/>
      <c r="M43" s="12"/>
      <c r="N43" s="12"/>
      <c r="O43" s="29"/>
      <c r="P43" s="559" t="s">
        <v>993</v>
      </c>
      <c r="Q43" s="559"/>
      <c r="R43" s="559"/>
    </row>
    <row r="44" spans="1:18" ht="15">
      <c r="A44" s="559" t="s">
        <v>994</v>
      </c>
      <c r="B44" s="559"/>
      <c r="C44" s="559"/>
      <c r="D44" s="12"/>
      <c r="E44" s="12"/>
      <c r="F44" s="12"/>
      <c r="G44" s="12"/>
      <c r="H44" s="239"/>
      <c r="I44" s="559" t="s">
        <v>995</v>
      </c>
      <c r="J44" s="559"/>
      <c r="K44" s="11"/>
      <c r="L44" s="12"/>
      <c r="M44" s="12"/>
      <c r="N44" s="12"/>
      <c r="O44" s="11"/>
      <c r="P44" s="559" t="s">
        <v>995</v>
      </c>
      <c r="Q44" s="559"/>
      <c r="R44" s="559"/>
    </row>
  </sheetData>
  <sheetProtection/>
  <mergeCells count="22">
    <mergeCell ref="S9:S10"/>
    <mergeCell ref="O9:R9"/>
    <mergeCell ref="Q1:R1"/>
    <mergeCell ref="A5:S5"/>
    <mergeCell ref="A3:S3"/>
    <mergeCell ref="A2:S2"/>
    <mergeCell ref="A42:C42"/>
    <mergeCell ref="I42:J42"/>
    <mergeCell ref="P42:R42"/>
    <mergeCell ref="A36:B36"/>
    <mergeCell ref="A9:A10"/>
    <mergeCell ref="B9:B10"/>
    <mergeCell ref="C9:F9"/>
    <mergeCell ref="G9:J9"/>
    <mergeCell ref="K9:N9"/>
    <mergeCell ref="C12:S35"/>
    <mergeCell ref="A43:C43"/>
    <mergeCell ref="I43:J43"/>
    <mergeCell ref="P43:R43"/>
    <mergeCell ref="A44:C44"/>
    <mergeCell ref="I44:J44"/>
    <mergeCell ref="P44:R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4" r:id="rId1"/>
</worksheet>
</file>

<file path=xl/worksheets/sheet64.xml><?xml version="1.0" encoding="utf-8"?>
<worksheet xmlns="http://schemas.openxmlformats.org/spreadsheetml/2006/main" xmlns:r="http://schemas.openxmlformats.org/officeDocument/2006/relationships">
  <sheetPr>
    <tabColor rgb="FF92D050"/>
    <pageSetUpPr fitToPage="1"/>
  </sheetPr>
  <dimension ref="A1:BF47"/>
  <sheetViews>
    <sheetView view="pageBreakPreview" zoomScale="55" zoomScaleNormal="55" zoomScaleSheetLayoutView="55" zoomScalePageLayoutView="0" workbookViewId="0" topLeftCell="A4">
      <selection activeCell="Z42" sqref="Z42"/>
    </sheetView>
  </sheetViews>
  <sheetFormatPr defaultColWidth="9.140625" defaultRowHeight="12.75"/>
  <cols>
    <col min="1" max="1" width="9.140625" style="421" customWidth="1"/>
    <col min="2" max="2" width="18.421875" style="421" customWidth="1"/>
    <col min="3" max="3" width="7.140625" style="421" customWidth="1"/>
    <col min="4" max="4" width="6.8515625" style="421" customWidth="1"/>
    <col min="5" max="5" width="7.421875" style="421" customWidth="1"/>
    <col min="6" max="6" width="9.140625" style="421" customWidth="1"/>
    <col min="7" max="7" width="7.421875" style="421" customWidth="1"/>
    <col min="8" max="9" width="7.00390625" style="421" customWidth="1"/>
    <col min="10" max="10" width="7.140625" style="421" customWidth="1"/>
    <col min="11" max="11" width="6.8515625" style="421" customWidth="1"/>
    <col min="12" max="12" width="9.7109375" style="421" customWidth="1"/>
    <col min="13" max="14" width="6.8515625" style="421" customWidth="1"/>
    <col min="15" max="15" width="7.00390625" style="421" customWidth="1"/>
    <col min="16" max="16" width="7.28125" style="421" customWidth="1"/>
    <col min="17" max="19" width="7.421875" style="421" customWidth="1"/>
    <col min="20" max="20" width="7.8515625" style="421" customWidth="1"/>
    <col min="21" max="21" width="9.7109375" style="421" customWidth="1"/>
    <col min="22" max="22" width="12.8515625" style="421" customWidth="1"/>
    <col min="23" max="23" width="9.00390625" style="421" bestFit="1" customWidth="1"/>
    <col min="24" max="24" width="10.7109375" style="421" bestFit="1" customWidth="1"/>
    <col min="25" max="25" width="10.57421875" style="421" bestFit="1" customWidth="1"/>
    <col min="26" max="26" width="8.421875" style="421" customWidth="1"/>
    <col min="27" max="32" width="10.8515625" style="421" customWidth="1"/>
    <col min="33" max="16384" width="9.140625" style="421" customWidth="1"/>
  </cols>
  <sheetData>
    <row r="1" spans="3:34" s="12" customFormat="1" ht="15.75">
      <c r="C1" s="38"/>
      <c r="D1" s="38"/>
      <c r="E1" s="38"/>
      <c r="F1" s="38"/>
      <c r="G1" s="38"/>
      <c r="H1" s="38"/>
      <c r="I1" s="38"/>
      <c r="J1" s="38"/>
      <c r="M1" s="84"/>
      <c r="N1" s="38"/>
      <c r="AA1" s="34"/>
      <c r="AB1" s="34"/>
      <c r="AC1" s="34"/>
      <c r="AD1" s="34"/>
      <c r="AE1" s="973" t="s">
        <v>548</v>
      </c>
      <c r="AF1" s="973"/>
      <c r="AG1" s="973"/>
      <c r="AH1" s="973"/>
    </row>
    <row r="2" spans="1:34" s="12" customFormat="1" ht="15.75">
      <c r="A2" s="590" t="s">
        <v>0</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372"/>
      <c r="AH2" s="372"/>
    </row>
    <row r="3" spans="1:32" s="12" customFormat="1" ht="20.25">
      <c r="A3" s="591" t="s">
        <v>645</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row>
    <row r="4" spans="10:22" s="12" customFormat="1" ht="20.25">
      <c r="J4" s="37"/>
      <c r="K4" s="37"/>
      <c r="L4" s="37"/>
      <c r="M4" s="37"/>
      <c r="N4" s="37"/>
      <c r="O4" s="37"/>
      <c r="P4" s="37"/>
      <c r="Q4" s="37"/>
      <c r="R4" s="37"/>
      <c r="S4" s="37"/>
      <c r="T4" s="37"/>
      <c r="U4" s="37"/>
      <c r="V4" s="37"/>
    </row>
    <row r="5" spans="1:33" ht="15.75">
      <c r="A5" s="592" t="s">
        <v>739</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84"/>
    </row>
    <row r="6" spans="3:33" ht="15">
      <c r="C6" s="422"/>
      <c r="D6" s="422"/>
      <c r="E6" s="422"/>
      <c r="F6" s="422"/>
      <c r="G6" s="422"/>
      <c r="H6" s="422"/>
      <c r="I6" s="422"/>
      <c r="J6" s="422"/>
      <c r="Q6" s="422"/>
      <c r="R6" s="422"/>
      <c r="S6" s="422"/>
      <c r="T6" s="422"/>
      <c r="U6" s="422"/>
      <c r="V6" s="422"/>
      <c r="W6" s="422"/>
      <c r="X6" s="422"/>
      <c r="Y6" s="422"/>
      <c r="Z6" s="422"/>
      <c r="AA6" s="422"/>
      <c r="AB6" s="422"/>
      <c r="AC6" s="422"/>
      <c r="AD6" s="422"/>
      <c r="AE6" s="422"/>
      <c r="AF6" s="422"/>
      <c r="AG6" s="422"/>
    </row>
    <row r="7" spans="1:2" ht="15">
      <c r="A7" s="423" t="s">
        <v>157</v>
      </c>
      <c r="B7" s="424"/>
    </row>
    <row r="8" ht="15">
      <c r="B8" s="425"/>
    </row>
    <row r="9" spans="1:32" s="423" customFormat="1" ht="41.25" customHeight="1">
      <c r="A9" s="573" t="s">
        <v>1</v>
      </c>
      <c r="B9" s="950" t="s">
        <v>2</v>
      </c>
      <c r="C9" s="716" t="s">
        <v>102</v>
      </c>
      <c r="D9" s="716"/>
      <c r="E9" s="716"/>
      <c r="F9" s="716"/>
      <c r="G9" s="716"/>
      <c r="H9" s="716"/>
      <c r="I9" s="953" t="s">
        <v>690</v>
      </c>
      <c r="J9" s="954"/>
      <c r="K9" s="954"/>
      <c r="L9" s="954"/>
      <c r="M9" s="954"/>
      <c r="N9" s="956"/>
      <c r="O9" s="953" t="s">
        <v>193</v>
      </c>
      <c r="P9" s="954"/>
      <c r="Q9" s="954"/>
      <c r="R9" s="954"/>
      <c r="S9" s="954"/>
      <c r="T9" s="956"/>
      <c r="U9" s="716" t="s">
        <v>101</v>
      </c>
      <c r="V9" s="716"/>
      <c r="W9" s="716"/>
      <c r="X9" s="716"/>
      <c r="Y9" s="716"/>
      <c r="Z9" s="716"/>
      <c r="AA9" s="970" t="s">
        <v>235</v>
      </c>
      <c r="AB9" s="971"/>
      <c r="AC9" s="971"/>
      <c r="AD9" s="971"/>
      <c r="AE9" s="971"/>
      <c r="AF9" s="972"/>
    </row>
    <row r="10" spans="1:32" s="428" customFormat="1" ht="61.5" customHeight="1">
      <c r="A10" s="573"/>
      <c r="B10" s="951"/>
      <c r="C10" s="427" t="s">
        <v>86</v>
      </c>
      <c r="D10" s="427" t="s">
        <v>90</v>
      </c>
      <c r="E10" s="427" t="s">
        <v>91</v>
      </c>
      <c r="F10" s="427" t="s">
        <v>358</v>
      </c>
      <c r="G10" s="427" t="s">
        <v>236</v>
      </c>
      <c r="H10" s="427" t="s">
        <v>13</v>
      </c>
      <c r="I10" s="427" t="s">
        <v>86</v>
      </c>
      <c r="J10" s="427" t="s">
        <v>90</v>
      </c>
      <c r="K10" s="427" t="s">
        <v>91</v>
      </c>
      <c r="L10" s="427" t="s">
        <v>358</v>
      </c>
      <c r="M10" s="427" t="s">
        <v>236</v>
      </c>
      <c r="N10" s="427" t="s">
        <v>13</v>
      </c>
      <c r="O10" s="427" t="s">
        <v>86</v>
      </c>
      <c r="P10" s="427" t="s">
        <v>90</v>
      </c>
      <c r="Q10" s="427" t="s">
        <v>91</v>
      </c>
      <c r="R10" s="427" t="s">
        <v>358</v>
      </c>
      <c r="S10" s="427" t="s">
        <v>236</v>
      </c>
      <c r="T10" s="427" t="s">
        <v>13</v>
      </c>
      <c r="U10" s="427" t="s">
        <v>237</v>
      </c>
      <c r="V10" s="427" t="s">
        <v>238</v>
      </c>
      <c r="W10" s="427" t="s">
        <v>239</v>
      </c>
      <c r="X10" s="427" t="s">
        <v>358</v>
      </c>
      <c r="Y10" s="427" t="s">
        <v>236</v>
      </c>
      <c r="Z10" s="427" t="s">
        <v>83</v>
      </c>
      <c r="AA10" s="427" t="s">
        <v>86</v>
      </c>
      <c r="AB10" s="427" t="s">
        <v>90</v>
      </c>
      <c r="AC10" s="427" t="s">
        <v>239</v>
      </c>
      <c r="AD10" s="427" t="s">
        <v>358</v>
      </c>
      <c r="AE10" s="427" t="s">
        <v>236</v>
      </c>
      <c r="AF10" s="427" t="s">
        <v>13</v>
      </c>
    </row>
    <row r="11" spans="1:32" s="428" customFormat="1" ht="15.75" customHeight="1">
      <c r="A11" s="5">
        <v>1</v>
      </c>
      <c r="B11" s="409">
        <v>2</v>
      </c>
      <c r="C11" s="409">
        <v>3</v>
      </c>
      <c r="D11" s="427">
        <v>4</v>
      </c>
      <c r="E11" s="427">
        <v>5</v>
      </c>
      <c r="F11" s="427">
        <v>6</v>
      </c>
      <c r="G11" s="427">
        <v>7</v>
      </c>
      <c r="H11" s="427">
        <v>9</v>
      </c>
      <c r="I11" s="427">
        <v>10</v>
      </c>
      <c r="J11" s="427">
        <v>11</v>
      </c>
      <c r="K11" s="427">
        <v>12</v>
      </c>
      <c r="L11" s="427">
        <v>13</v>
      </c>
      <c r="M11" s="427">
        <v>14</v>
      </c>
      <c r="N11" s="427">
        <v>16</v>
      </c>
      <c r="O11" s="427">
        <v>17</v>
      </c>
      <c r="P11" s="427">
        <v>18</v>
      </c>
      <c r="Q11" s="427">
        <v>19</v>
      </c>
      <c r="R11" s="427">
        <v>20</v>
      </c>
      <c r="S11" s="427">
        <v>21</v>
      </c>
      <c r="T11" s="427">
        <v>23</v>
      </c>
      <c r="U11" s="427">
        <v>24</v>
      </c>
      <c r="V11" s="427">
        <v>25</v>
      </c>
      <c r="W11" s="427">
        <v>26</v>
      </c>
      <c r="X11" s="427">
        <v>27</v>
      </c>
      <c r="Y11" s="427">
        <v>28</v>
      </c>
      <c r="Z11" s="427">
        <v>30</v>
      </c>
      <c r="AA11" s="427">
        <v>31</v>
      </c>
      <c r="AB11" s="427">
        <v>32</v>
      </c>
      <c r="AC11" s="427">
        <v>33</v>
      </c>
      <c r="AD11" s="427">
        <v>34</v>
      </c>
      <c r="AE11" s="427">
        <v>35</v>
      </c>
      <c r="AF11" s="427">
        <v>37</v>
      </c>
    </row>
    <row r="12" spans="1:32" ht="15">
      <c r="A12" s="429">
        <v>1</v>
      </c>
      <c r="B12" s="224" t="s">
        <v>831</v>
      </c>
      <c r="C12" s="430">
        <f>'AT3A_cvrg(Insti)_PY'!C11+'AT3B_cvrg(Insti)_UPY '!C11+'AT3C_cvrg(Insti)_UPY '!C11</f>
        <v>2327</v>
      </c>
      <c r="D12" s="430">
        <f>'AT3A_cvrg(Insti)_PY'!D11+'AT3B_cvrg(Insti)_UPY '!D11+'AT3C_cvrg(Insti)_UPY '!D11</f>
        <v>129</v>
      </c>
      <c r="E12" s="430">
        <v>0</v>
      </c>
      <c r="F12" s="430">
        <f>'AT3A_cvrg(Insti)_PY'!E11+'AT3B_cvrg(Insti)_UPY '!E11+'AT3C_cvrg(Insti)_UPY '!E11</f>
        <v>28</v>
      </c>
      <c r="G12" s="430">
        <f>'AT3A_cvrg(Insti)_PY'!F11+'AT3B_cvrg(Insti)_UPY '!F11+'AT3C_cvrg(Insti)_UPY '!F11</f>
        <v>2</v>
      </c>
      <c r="H12" s="430">
        <f>SUM(C12:G12)</f>
        <v>2486</v>
      </c>
      <c r="I12" s="431">
        <v>2373</v>
      </c>
      <c r="J12" s="430">
        <v>127</v>
      </c>
      <c r="K12" s="430">
        <v>0</v>
      </c>
      <c r="L12" s="430">
        <v>30</v>
      </c>
      <c r="M12" s="430">
        <v>2</v>
      </c>
      <c r="N12" s="431">
        <f>SUM(I12:M12)</f>
        <v>2532</v>
      </c>
      <c r="O12" s="430">
        <v>0</v>
      </c>
      <c r="P12" s="430">
        <v>0</v>
      </c>
      <c r="Q12" s="430">
        <v>0</v>
      </c>
      <c r="R12" s="430">
        <v>0</v>
      </c>
      <c r="S12" s="430">
        <v>0</v>
      </c>
      <c r="T12" s="430">
        <f>SUM(O12:S12)</f>
        <v>0</v>
      </c>
      <c r="U12" s="431"/>
      <c r="V12" s="431"/>
      <c r="W12" s="431"/>
      <c r="X12" s="431"/>
      <c r="Y12" s="431"/>
      <c r="Z12" s="431">
        <f>SUM(U12:Y12)</f>
        <v>0</v>
      </c>
      <c r="AA12" s="430"/>
      <c r="AB12" s="430"/>
      <c r="AC12" s="430"/>
      <c r="AD12" s="430"/>
      <c r="AE12" s="430"/>
      <c r="AF12" s="430">
        <f>SUM(AA12:AE12)</f>
        <v>0</v>
      </c>
    </row>
    <row r="13" spans="1:32" ht="15">
      <c r="A13" s="429">
        <v>2</v>
      </c>
      <c r="B13" s="224" t="s">
        <v>832</v>
      </c>
      <c r="C13" s="430">
        <f>'AT3A_cvrg(Insti)_PY'!C12+'AT3B_cvrg(Insti)_UPY '!C12+'AT3C_cvrg(Insti)_UPY '!C12</f>
        <v>876</v>
      </c>
      <c r="D13" s="430">
        <f>'AT3A_cvrg(Insti)_PY'!D12+'AT3B_cvrg(Insti)_UPY '!D12+'AT3C_cvrg(Insti)_UPY '!D12</f>
        <v>120</v>
      </c>
      <c r="E13" s="430">
        <v>0</v>
      </c>
      <c r="F13" s="430">
        <f>'AT3A_cvrg(Insti)_PY'!E12+'AT3B_cvrg(Insti)_UPY '!E12+'AT3C_cvrg(Insti)_UPY '!E12</f>
        <v>0</v>
      </c>
      <c r="G13" s="430">
        <f>'AT3A_cvrg(Insti)_PY'!F12+'AT3B_cvrg(Insti)_UPY '!F12+'AT3C_cvrg(Insti)_UPY '!F12</f>
        <v>0</v>
      </c>
      <c r="H13" s="430">
        <f aca="true" t="shared" si="0" ref="H13:H35">SUM(C13:G13)</f>
        <v>996</v>
      </c>
      <c r="I13" s="431">
        <v>288</v>
      </c>
      <c r="J13" s="430">
        <v>125</v>
      </c>
      <c r="K13" s="430">
        <v>0</v>
      </c>
      <c r="L13" s="430">
        <v>0</v>
      </c>
      <c r="M13" s="430">
        <v>0</v>
      </c>
      <c r="N13" s="431">
        <f aca="true" t="shared" si="1" ref="N13:N35">SUM(I13:M13)</f>
        <v>413</v>
      </c>
      <c r="O13" s="430">
        <v>0</v>
      </c>
      <c r="P13" s="430">
        <v>0</v>
      </c>
      <c r="Q13" s="430">
        <v>0</v>
      </c>
      <c r="R13" s="430">
        <v>0</v>
      </c>
      <c r="S13" s="430">
        <v>0</v>
      </c>
      <c r="T13" s="430">
        <f aca="true" t="shared" si="2" ref="T13:T35">SUM(O13:S13)</f>
        <v>0</v>
      </c>
      <c r="U13" s="431"/>
      <c r="V13" s="431"/>
      <c r="W13" s="431"/>
      <c r="X13" s="431"/>
      <c r="Y13" s="431"/>
      <c r="Z13" s="431">
        <f aca="true" t="shared" si="3" ref="Z13:Z35">SUM(U13:Y13)</f>
        <v>0</v>
      </c>
      <c r="AA13" s="430"/>
      <c r="AB13" s="430"/>
      <c r="AC13" s="430"/>
      <c r="AD13" s="430"/>
      <c r="AE13" s="430"/>
      <c r="AF13" s="430">
        <f aca="true" t="shared" si="4" ref="AF13:AF35">SUM(AA13:AE13)</f>
        <v>0</v>
      </c>
    </row>
    <row r="14" spans="1:32" ht="15">
      <c r="A14" s="429">
        <v>3</v>
      </c>
      <c r="B14" s="224" t="s">
        <v>833</v>
      </c>
      <c r="C14" s="430">
        <f>'AT3A_cvrg(Insti)_PY'!C13+'AT3B_cvrg(Insti)_UPY '!C13+'AT3C_cvrg(Insti)_UPY '!C13</f>
        <v>567</v>
      </c>
      <c r="D14" s="430">
        <f>'AT3A_cvrg(Insti)_PY'!D13+'AT3B_cvrg(Insti)_UPY '!D13+'AT3C_cvrg(Insti)_UPY '!D13</f>
        <v>13</v>
      </c>
      <c r="E14" s="430">
        <v>0</v>
      </c>
      <c r="F14" s="430">
        <f>'AT3A_cvrg(Insti)_PY'!E13+'AT3B_cvrg(Insti)_UPY '!E13+'AT3C_cvrg(Insti)_UPY '!E13</f>
        <v>0</v>
      </c>
      <c r="G14" s="430">
        <f>'AT3A_cvrg(Insti)_PY'!F13+'AT3B_cvrg(Insti)_UPY '!F13+'AT3C_cvrg(Insti)_UPY '!F13</f>
        <v>0</v>
      </c>
      <c r="H14" s="430">
        <f t="shared" si="0"/>
        <v>580</v>
      </c>
      <c r="I14" s="431">
        <v>733</v>
      </c>
      <c r="J14" s="430">
        <v>13</v>
      </c>
      <c r="K14" s="430">
        <v>0</v>
      </c>
      <c r="L14" s="430">
        <v>0</v>
      </c>
      <c r="M14" s="430">
        <v>2</v>
      </c>
      <c r="N14" s="431">
        <f t="shared" si="1"/>
        <v>748</v>
      </c>
      <c r="O14" s="430">
        <v>0</v>
      </c>
      <c r="P14" s="430">
        <v>0</v>
      </c>
      <c r="Q14" s="430">
        <v>0</v>
      </c>
      <c r="R14" s="430">
        <v>0</v>
      </c>
      <c r="S14" s="430">
        <v>0</v>
      </c>
      <c r="T14" s="430">
        <f t="shared" si="2"/>
        <v>0</v>
      </c>
      <c r="U14" s="431"/>
      <c r="V14" s="431"/>
      <c r="W14" s="431"/>
      <c r="X14" s="431"/>
      <c r="Y14" s="431"/>
      <c r="Z14" s="431">
        <f t="shared" si="3"/>
        <v>0</v>
      </c>
      <c r="AA14" s="430"/>
      <c r="AB14" s="430"/>
      <c r="AC14" s="430"/>
      <c r="AD14" s="430"/>
      <c r="AE14" s="430"/>
      <c r="AF14" s="430">
        <f t="shared" si="4"/>
        <v>0</v>
      </c>
    </row>
    <row r="15" spans="1:32" s="435" customFormat="1" ht="15">
      <c r="A15" s="432">
        <v>4</v>
      </c>
      <c r="B15" s="224" t="s">
        <v>834</v>
      </c>
      <c r="C15" s="433">
        <f>'AT3A_cvrg(Insti)_PY'!C14+'AT3B_cvrg(Insti)_UPY '!C14+'AT3C_cvrg(Insti)_UPY '!C14</f>
        <v>1498</v>
      </c>
      <c r="D15" s="433">
        <f>'AT3A_cvrg(Insti)_PY'!D14+'AT3B_cvrg(Insti)_UPY '!D14+'AT3C_cvrg(Insti)_UPY '!D14</f>
        <v>231</v>
      </c>
      <c r="E15" s="433">
        <v>0</v>
      </c>
      <c r="F15" s="433">
        <f>'AT3A_cvrg(Insti)_PY'!E14+'AT3B_cvrg(Insti)_UPY '!E14+'AT3C_cvrg(Insti)_UPY '!E14</f>
        <v>0</v>
      </c>
      <c r="G15" s="433">
        <f>'AT3A_cvrg(Insti)_PY'!F14+'AT3B_cvrg(Insti)_UPY '!F14+'AT3C_cvrg(Insti)_UPY '!F14</f>
        <v>2</v>
      </c>
      <c r="H15" s="433">
        <f t="shared" si="0"/>
        <v>1731</v>
      </c>
      <c r="I15" s="434">
        <v>831</v>
      </c>
      <c r="J15" s="433">
        <v>240</v>
      </c>
      <c r="K15" s="433">
        <v>0</v>
      </c>
      <c r="L15" s="433">
        <v>0</v>
      </c>
      <c r="M15" s="433">
        <v>2</v>
      </c>
      <c r="N15" s="434">
        <f t="shared" si="1"/>
        <v>1073</v>
      </c>
      <c r="O15" s="433">
        <v>0</v>
      </c>
      <c r="P15" s="433">
        <v>0</v>
      </c>
      <c r="Q15" s="433">
        <v>0</v>
      </c>
      <c r="R15" s="433">
        <v>0</v>
      </c>
      <c r="S15" s="433">
        <v>0</v>
      </c>
      <c r="T15" s="433">
        <f t="shared" si="2"/>
        <v>0</v>
      </c>
      <c r="U15" s="434"/>
      <c r="V15" s="434"/>
      <c r="W15" s="434"/>
      <c r="X15" s="434"/>
      <c r="Y15" s="434"/>
      <c r="Z15" s="434">
        <f t="shared" si="3"/>
        <v>0</v>
      </c>
      <c r="AA15" s="433"/>
      <c r="AB15" s="433"/>
      <c r="AC15" s="433"/>
      <c r="AD15" s="433"/>
      <c r="AE15" s="433"/>
      <c r="AF15" s="433">
        <f t="shared" si="4"/>
        <v>0</v>
      </c>
    </row>
    <row r="16" spans="1:32" s="435" customFormat="1" ht="15">
      <c r="A16" s="432">
        <v>5</v>
      </c>
      <c r="B16" s="224" t="s">
        <v>835</v>
      </c>
      <c r="C16" s="433">
        <f>'AT3A_cvrg(Insti)_PY'!C15+'AT3B_cvrg(Insti)_UPY '!C15+'AT3C_cvrg(Insti)_UPY '!C15</f>
        <v>854</v>
      </c>
      <c r="D16" s="433">
        <f>'AT3A_cvrg(Insti)_PY'!D15+'AT3B_cvrg(Insti)_UPY '!D15+'AT3C_cvrg(Insti)_UPY '!D15</f>
        <v>224</v>
      </c>
      <c r="E16" s="433">
        <v>0</v>
      </c>
      <c r="F16" s="433">
        <f>'AT3A_cvrg(Insti)_PY'!E15+'AT3B_cvrg(Insti)_UPY '!E15+'AT3C_cvrg(Insti)_UPY '!E15</f>
        <v>0</v>
      </c>
      <c r="G16" s="433">
        <f>'AT3A_cvrg(Insti)_PY'!F15+'AT3B_cvrg(Insti)_UPY '!F15+'AT3C_cvrg(Insti)_UPY '!F15</f>
        <v>0</v>
      </c>
      <c r="H16" s="433">
        <f t="shared" si="0"/>
        <v>1078</v>
      </c>
      <c r="I16" s="434">
        <v>885</v>
      </c>
      <c r="J16" s="433">
        <v>226</v>
      </c>
      <c r="K16" s="433">
        <v>0</v>
      </c>
      <c r="L16" s="433">
        <v>0</v>
      </c>
      <c r="M16" s="433">
        <v>0</v>
      </c>
      <c r="N16" s="434">
        <f t="shared" si="1"/>
        <v>1111</v>
      </c>
      <c r="O16" s="433">
        <v>0</v>
      </c>
      <c r="P16" s="433">
        <v>0</v>
      </c>
      <c r="Q16" s="433">
        <v>0</v>
      </c>
      <c r="R16" s="433">
        <v>0</v>
      </c>
      <c r="S16" s="433">
        <v>0</v>
      </c>
      <c r="T16" s="433">
        <f t="shared" si="2"/>
        <v>0</v>
      </c>
      <c r="U16" s="434"/>
      <c r="V16" s="434"/>
      <c r="W16" s="434"/>
      <c r="X16" s="434"/>
      <c r="Y16" s="434"/>
      <c r="Z16" s="434">
        <f t="shared" si="3"/>
        <v>0</v>
      </c>
      <c r="AA16" s="433"/>
      <c r="AB16" s="433"/>
      <c r="AC16" s="433"/>
      <c r="AD16" s="433"/>
      <c r="AE16" s="433"/>
      <c r="AF16" s="433">
        <f t="shared" si="4"/>
        <v>0</v>
      </c>
    </row>
    <row r="17" spans="1:32" ht="15">
      <c r="A17" s="429">
        <v>6</v>
      </c>
      <c r="B17" s="224" t="s">
        <v>836</v>
      </c>
      <c r="C17" s="430">
        <f>'AT3A_cvrg(Insti)_PY'!C16+'AT3B_cvrg(Insti)_UPY '!C16+'AT3C_cvrg(Insti)_UPY '!C16</f>
        <v>1886</v>
      </c>
      <c r="D17" s="430">
        <f>'AT3A_cvrg(Insti)_PY'!D16+'AT3B_cvrg(Insti)_UPY '!D16+'AT3C_cvrg(Insti)_UPY '!D16</f>
        <v>66</v>
      </c>
      <c r="E17" s="430">
        <v>0</v>
      </c>
      <c r="F17" s="430">
        <f>'AT3A_cvrg(Insti)_PY'!E16+'AT3B_cvrg(Insti)_UPY '!E16+'AT3C_cvrg(Insti)_UPY '!E16</f>
        <v>0</v>
      </c>
      <c r="G17" s="430">
        <f>'AT3A_cvrg(Insti)_PY'!F16+'AT3B_cvrg(Insti)_UPY '!F16+'AT3C_cvrg(Insti)_UPY '!F16</f>
        <v>2</v>
      </c>
      <c r="H17" s="430">
        <f t="shared" si="0"/>
        <v>1954</v>
      </c>
      <c r="I17" s="431">
        <v>1216</v>
      </c>
      <c r="J17" s="430">
        <v>70</v>
      </c>
      <c r="K17" s="430">
        <v>0</v>
      </c>
      <c r="L17" s="430">
        <v>0</v>
      </c>
      <c r="M17" s="430">
        <v>2</v>
      </c>
      <c r="N17" s="431">
        <f t="shared" si="1"/>
        <v>1288</v>
      </c>
      <c r="O17" s="430">
        <v>0</v>
      </c>
      <c r="P17" s="430">
        <v>0</v>
      </c>
      <c r="Q17" s="430">
        <v>0</v>
      </c>
      <c r="R17" s="430">
        <v>0</v>
      </c>
      <c r="S17" s="430">
        <v>0</v>
      </c>
      <c r="T17" s="430">
        <f t="shared" si="2"/>
        <v>0</v>
      </c>
      <c r="U17" s="431"/>
      <c r="V17" s="431"/>
      <c r="W17" s="431"/>
      <c r="X17" s="431"/>
      <c r="Y17" s="431"/>
      <c r="Z17" s="431">
        <f t="shared" si="3"/>
        <v>0</v>
      </c>
      <c r="AA17" s="430"/>
      <c r="AB17" s="430"/>
      <c r="AC17" s="430"/>
      <c r="AD17" s="430"/>
      <c r="AE17" s="430"/>
      <c r="AF17" s="430">
        <f t="shared" si="4"/>
        <v>0</v>
      </c>
    </row>
    <row r="18" spans="1:32" ht="15">
      <c r="A18" s="429">
        <v>7</v>
      </c>
      <c r="B18" s="224" t="s">
        <v>837</v>
      </c>
      <c r="C18" s="430">
        <f>'AT3A_cvrg(Insti)_PY'!C17+'AT3B_cvrg(Insti)_UPY '!C17+'AT3C_cvrg(Insti)_UPY '!C17</f>
        <v>1660</v>
      </c>
      <c r="D18" s="430">
        <f>'AT3A_cvrg(Insti)_PY'!D17+'AT3B_cvrg(Insti)_UPY '!D17+'AT3C_cvrg(Insti)_UPY '!D17</f>
        <v>0</v>
      </c>
      <c r="E18" s="430">
        <v>0</v>
      </c>
      <c r="F18" s="430">
        <f>'AT3A_cvrg(Insti)_PY'!E17+'AT3B_cvrg(Insti)_UPY '!E17+'AT3C_cvrg(Insti)_UPY '!E17</f>
        <v>0</v>
      </c>
      <c r="G18" s="430">
        <f>'AT3A_cvrg(Insti)_PY'!F17+'AT3B_cvrg(Insti)_UPY '!F17+'AT3C_cvrg(Insti)_UPY '!F17</f>
        <v>0</v>
      </c>
      <c r="H18" s="430">
        <f t="shared" si="0"/>
        <v>1660</v>
      </c>
      <c r="I18" s="431">
        <v>1194</v>
      </c>
      <c r="J18" s="430">
        <v>0</v>
      </c>
      <c r="K18" s="430">
        <v>0</v>
      </c>
      <c r="L18" s="430">
        <v>0</v>
      </c>
      <c r="M18" s="430">
        <v>0</v>
      </c>
      <c r="N18" s="431">
        <f t="shared" si="1"/>
        <v>1194</v>
      </c>
      <c r="O18" s="430">
        <v>0</v>
      </c>
      <c r="P18" s="430">
        <v>0</v>
      </c>
      <c r="Q18" s="430">
        <v>0</v>
      </c>
      <c r="R18" s="430">
        <v>0</v>
      </c>
      <c r="S18" s="430">
        <v>0</v>
      </c>
      <c r="T18" s="430">
        <f t="shared" si="2"/>
        <v>0</v>
      </c>
      <c r="U18" s="431"/>
      <c r="V18" s="431"/>
      <c r="W18" s="431"/>
      <c r="X18" s="431"/>
      <c r="Y18" s="431"/>
      <c r="Z18" s="431">
        <f t="shared" si="3"/>
        <v>0</v>
      </c>
      <c r="AA18" s="430"/>
      <c r="AB18" s="430"/>
      <c r="AC18" s="430"/>
      <c r="AD18" s="430"/>
      <c r="AE18" s="430"/>
      <c r="AF18" s="430">
        <f t="shared" si="4"/>
        <v>0</v>
      </c>
    </row>
    <row r="19" spans="1:32" s="435" customFormat="1" ht="15">
      <c r="A19" s="432">
        <v>8</v>
      </c>
      <c r="B19" s="224" t="s">
        <v>838</v>
      </c>
      <c r="C19" s="433">
        <f>'AT3A_cvrg(Insti)_PY'!C18+'AT3B_cvrg(Insti)_UPY '!C18+'AT3C_cvrg(Insti)_UPY '!C18</f>
        <v>2181</v>
      </c>
      <c r="D19" s="433">
        <f>'AT3A_cvrg(Insti)_PY'!D18+'AT3B_cvrg(Insti)_UPY '!D18+'AT3C_cvrg(Insti)_UPY '!D18</f>
        <v>39</v>
      </c>
      <c r="E19" s="433">
        <v>0</v>
      </c>
      <c r="F19" s="433">
        <f>'AT3A_cvrg(Insti)_PY'!E18+'AT3B_cvrg(Insti)_UPY '!E18+'AT3C_cvrg(Insti)_UPY '!E18</f>
        <v>31</v>
      </c>
      <c r="G19" s="433">
        <f>'AT3A_cvrg(Insti)_PY'!F18+'AT3B_cvrg(Insti)_UPY '!F18+'AT3C_cvrg(Insti)_UPY '!F18</f>
        <v>1</v>
      </c>
      <c r="H19" s="433">
        <f t="shared" si="0"/>
        <v>2252</v>
      </c>
      <c r="I19" s="434">
        <v>2503</v>
      </c>
      <c r="J19" s="433">
        <v>77</v>
      </c>
      <c r="K19" s="433">
        <v>0</v>
      </c>
      <c r="L19" s="433">
        <v>0</v>
      </c>
      <c r="M19" s="433">
        <v>1</v>
      </c>
      <c r="N19" s="434">
        <f t="shared" si="1"/>
        <v>2581</v>
      </c>
      <c r="O19" s="433">
        <v>0</v>
      </c>
      <c r="P19" s="433">
        <v>0</v>
      </c>
      <c r="Q19" s="433">
        <v>0</v>
      </c>
      <c r="R19" s="433">
        <v>0</v>
      </c>
      <c r="S19" s="433">
        <v>0</v>
      </c>
      <c r="T19" s="433">
        <f t="shared" si="2"/>
        <v>0</v>
      </c>
      <c r="U19" s="434"/>
      <c r="V19" s="434"/>
      <c r="W19" s="434"/>
      <c r="X19" s="434"/>
      <c r="Y19" s="434"/>
      <c r="Z19" s="434">
        <f t="shared" si="3"/>
        <v>0</v>
      </c>
      <c r="AA19" s="433"/>
      <c r="AB19" s="433"/>
      <c r="AC19" s="433"/>
      <c r="AD19" s="433"/>
      <c r="AE19" s="433"/>
      <c r="AF19" s="433">
        <f t="shared" si="4"/>
        <v>0</v>
      </c>
    </row>
    <row r="20" spans="1:32" ht="15">
      <c r="A20" s="429">
        <v>9</v>
      </c>
      <c r="B20" s="224" t="s">
        <v>839</v>
      </c>
      <c r="C20" s="430">
        <f>'AT3A_cvrg(Insti)_PY'!C19+'AT3B_cvrg(Insti)_UPY '!C19+'AT3C_cvrg(Insti)_UPY '!C19</f>
        <v>2566</v>
      </c>
      <c r="D20" s="430">
        <f>'AT3A_cvrg(Insti)_PY'!D19+'AT3B_cvrg(Insti)_UPY '!D19+'AT3C_cvrg(Insti)_UPY '!D19</f>
        <v>5</v>
      </c>
      <c r="E20" s="430">
        <v>0</v>
      </c>
      <c r="F20" s="430">
        <f>'AT3A_cvrg(Insti)_PY'!E19+'AT3B_cvrg(Insti)_UPY '!E19+'AT3C_cvrg(Insti)_UPY '!E19</f>
        <v>0</v>
      </c>
      <c r="G20" s="430">
        <f>'AT3A_cvrg(Insti)_PY'!F19+'AT3B_cvrg(Insti)_UPY '!F19+'AT3C_cvrg(Insti)_UPY '!F19</f>
        <v>3</v>
      </c>
      <c r="H20" s="430">
        <f t="shared" si="0"/>
        <v>2574</v>
      </c>
      <c r="I20" s="431">
        <v>2297</v>
      </c>
      <c r="J20" s="430">
        <v>4</v>
      </c>
      <c r="K20" s="430">
        <v>0</v>
      </c>
      <c r="L20" s="430">
        <v>0</v>
      </c>
      <c r="M20" s="430">
        <v>3</v>
      </c>
      <c r="N20" s="431">
        <f t="shared" si="1"/>
        <v>2304</v>
      </c>
      <c r="O20" s="430">
        <v>0</v>
      </c>
      <c r="P20" s="430">
        <v>0</v>
      </c>
      <c r="Q20" s="430">
        <v>0</v>
      </c>
      <c r="R20" s="430">
        <v>0</v>
      </c>
      <c r="S20" s="430">
        <v>0</v>
      </c>
      <c r="T20" s="430">
        <f t="shared" si="2"/>
        <v>0</v>
      </c>
      <c r="U20" s="431"/>
      <c r="V20" s="431"/>
      <c r="W20" s="431"/>
      <c r="X20" s="431"/>
      <c r="Y20" s="431"/>
      <c r="Z20" s="431">
        <f t="shared" si="3"/>
        <v>0</v>
      </c>
      <c r="AA20" s="430"/>
      <c r="AB20" s="430"/>
      <c r="AC20" s="430"/>
      <c r="AD20" s="430"/>
      <c r="AE20" s="430"/>
      <c r="AF20" s="430">
        <f t="shared" si="4"/>
        <v>0</v>
      </c>
    </row>
    <row r="21" spans="1:32" ht="15">
      <c r="A21" s="429">
        <v>10</v>
      </c>
      <c r="B21" s="224" t="s">
        <v>840</v>
      </c>
      <c r="C21" s="430">
        <f>'AT3A_cvrg(Insti)_PY'!C20+'AT3B_cvrg(Insti)_UPY '!C20+'AT3C_cvrg(Insti)_UPY '!C20</f>
        <v>1162</v>
      </c>
      <c r="D21" s="430">
        <f>'AT3A_cvrg(Insti)_PY'!D20+'AT3B_cvrg(Insti)_UPY '!D20+'AT3C_cvrg(Insti)_UPY '!D20</f>
        <v>13</v>
      </c>
      <c r="E21" s="430">
        <v>0</v>
      </c>
      <c r="F21" s="430">
        <f>'AT3A_cvrg(Insti)_PY'!E20+'AT3B_cvrg(Insti)_UPY '!E20+'AT3C_cvrg(Insti)_UPY '!E20</f>
        <v>0</v>
      </c>
      <c r="G21" s="430">
        <f>'AT3A_cvrg(Insti)_PY'!F20+'AT3B_cvrg(Insti)_UPY '!F20+'AT3C_cvrg(Insti)_UPY '!F20</f>
        <v>0</v>
      </c>
      <c r="H21" s="430">
        <f t="shared" si="0"/>
        <v>1175</v>
      </c>
      <c r="I21" s="431">
        <v>1312</v>
      </c>
      <c r="J21" s="430">
        <v>8</v>
      </c>
      <c r="K21" s="430">
        <v>0</v>
      </c>
      <c r="L21" s="430">
        <v>0</v>
      </c>
      <c r="M21" s="430">
        <v>0</v>
      </c>
      <c r="N21" s="431">
        <f t="shared" si="1"/>
        <v>1320</v>
      </c>
      <c r="O21" s="430">
        <v>0</v>
      </c>
      <c r="P21" s="430">
        <v>0</v>
      </c>
      <c r="Q21" s="430">
        <v>0</v>
      </c>
      <c r="R21" s="430">
        <v>0</v>
      </c>
      <c r="S21" s="430">
        <v>0</v>
      </c>
      <c r="T21" s="430">
        <f t="shared" si="2"/>
        <v>0</v>
      </c>
      <c r="U21" s="431"/>
      <c r="V21" s="431"/>
      <c r="W21" s="431"/>
      <c r="X21" s="431"/>
      <c r="Y21" s="431"/>
      <c r="Z21" s="431">
        <f t="shared" si="3"/>
        <v>0</v>
      </c>
      <c r="AA21" s="430"/>
      <c r="AB21" s="430"/>
      <c r="AC21" s="430"/>
      <c r="AD21" s="430"/>
      <c r="AE21" s="430"/>
      <c r="AF21" s="430">
        <f t="shared" si="4"/>
        <v>0</v>
      </c>
    </row>
    <row r="22" spans="1:32" ht="15">
      <c r="A22" s="429">
        <v>11</v>
      </c>
      <c r="B22" s="224" t="s">
        <v>841</v>
      </c>
      <c r="C22" s="430">
        <f>'AT3A_cvrg(Insti)_PY'!C21+'AT3B_cvrg(Insti)_UPY '!C21+'AT3C_cvrg(Insti)_UPY '!C21</f>
        <v>1503</v>
      </c>
      <c r="D22" s="430">
        <f>'AT3A_cvrg(Insti)_PY'!D21+'AT3B_cvrg(Insti)_UPY '!D21+'AT3C_cvrg(Insti)_UPY '!D21</f>
        <v>4</v>
      </c>
      <c r="E22" s="430">
        <v>0</v>
      </c>
      <c r="F22" s="430">
        <f>'AT3A_cvrg(Insti)_PY'!E21+'AT3B_cvrg(Insti)_UPY '!E21+'AT3C_cvrg(Insti)_UPY '!E21</f>
        <v>25</v>
      </c>
      <c r="G22" s="430">
        <f>'AT3A_cvrg(Insti)_PY'!F21+'AT3B_cvrg(Insti)_UPY '!F21+'AT3C_cvrg(Insti)_UPY '!F21</f>
        <v>1</v>
      </c>
      <c r="H22" s="430">
        <f t="shared" si="0"/>
        <v>1533</v>
      </c>
      <c r="I22" s="431">
        <v>1253</v>
      </c>
      <c r="J22" s="430">
        <v>4</v>
      </c>
      <c r="K22" s="430">
        <v>0</v>
      </c>
      <c r="L22" s="430">
        <v>0</v>
      </c>
      <c r="M22" s="430">
        <v>1</v>
      </c>
      <c r="N22" s="431">
        <f t="shared" si="1"/>
        <v>1258</v>
      </c>
      <c r="O22" s="430">
        <v>0</v>
      </c>
      <c r="P22" s="430">
        <v>0</v>
      </c>
      <c r="Q22" s="430">
        <v>0</v>
      </c>
      <c r="R22" s="430">
        <v>0</v>
      </c>
      <c r="S22" s="430">
        <v>0</v>
      </c>
      <c r="T22" s="430">
        <f t="shared" si="2"/>
        <v>0</v>
      </c>
      <c r="U22" s="431"/>
      <c r="V22" s="431"/>
      <c r="W22" s="431"/>
      <c r="X22" s="431"/>
      <c r="Y22" s="431"/>
      <c r="Z22" s="431">
        <f t="shared" si="3"/>
        <v>0</v>
      </c>
      <c r="AA22" s="430"/>
      <c r="AB22" s="430"/>
      <c r="AC22" s="430"/>
      <c r="AD22" s="430"/>
      <c r="AE22" s="430"/>
      <c r="AF22" s="430">
        <f t="shared" si="4"/>
        <v>0</v>
      </c>
    </row>
    <row r="23" spans="1:32" ht="15">
      <c r="A23" s="429">
        <v>12</v>
      </c>
      <c r="B23" s="224" t="s">
        <v>842</v>
      </c>
      <c r="C23" s="430">
        <f>'AT3A_cvrg(Insti)_PY'!C22+'AT3B_cvrg(Insti)_UPY '!C22+'AT3C_cvrg(Insti)_UPY '!C22</f>
        <v>1552</v>
      </c>
      <c r="D23" s="430">
        <f>'AT3A_cvrg(Insti)_PY'!D22+'AT3B_cvrg(Insti)_UPY '!D22+'AT3C_cvrg(Insti)_UPY '!D22</f>
        <v>25</v>
      </c>
      <c r="E23" s="430">
        <v>0</v>
      </c>
      <c r="F23" s="430">
        <f>'AT3A_cvrg(Insti)_PY'!E22+'AT3B_cvrg(Insti)_UPY '!E22+'AT3C_cvrg(Insti)_UPY '!E22</f>
        <v>12</v>
      </c>
      <c r="G23" s="430">
        <f>'AT3A_cvrg(Insti)_PY'!F22+'AT3B_cvrg(Insti)_UPY '!F22+'AT3C_cvrg(Insti)_UPY '!F22</f>
        <v>10</v>
      </c>
      <c r="H23" s="430">
        <f t="shared" si="0"/>
        <v>1599</v>
      </c>
      <c r="I23" s="431">
        <v>1354</v>
      </c>
      <c r="J23" s="430">
        <v>26</v>
      </c>
      <c r="K23" s="430">
        <v>0</v>
      </c>
      <c r="L23" s="430">
        <v>0</v>
      </c>
      <c r="M23" s="430">
        <v>1</v>
      </c>
      <c r="N23" s="431">
        <f t="shared" si="1"/>
        <v>1381</v>
      </c>
      <c r="O23" s="430">
        <v>0</v>
      </c>
      <c r="P23" s="430">
        <v>0</v>
      </c>
      <c r="Q23" s="430">
        <v>0</v>
      </c>
      <c r="R23" s="430">
        <v>0</v>
      </c>
      <c r="S23" s="430">
        <v>0</v>
      </c>
      <c r="T23" s="430">
        <f t="shared" si="2"/>
        <v>0</v>
      </c>
      <c r="U23" s="431"/>
      <c r="V23" s="431"/>
      <c r="W23" s="431"/>
      <c r="X23" s="431"/>
      <c r="Y23" s="431"/>
      <c r="Z23" s="431">
        <f t="shared" si="3"/>
        <v>0</v>
      </c>
      <c r="AA23" s="430"/>
      <c r="AB23" s="430"/>
      <c r="AC23" s="430"/>
      <c r="AD23" s="430"/>
      <c r="AE23" s="430"/>
      <c r="AF23" s="430">
        <f t="shared" si="4"/>
        <v>0</v>
      </c>
    </row>
    <row r="24" spans="1:32" ht="15">
      <c r="A24" s="429">
        <v>13</v>
      </c>
      <c r="B24" s="224" t="s">
        <v>843</v>
      </c>
      <c r="C24" s="430">
        <f>'AT3A_cvrg(Insti)_PY'!C23+'AT3B_cvrg(Insti)_UPY '!C23+'AT3C_cvrg(Insti)_UPY '!C23</f>
        <v>696</v>
      </c>
      <c r="D24" s="430">
        <f>'AT3A_cvrg(Insti)_PY'!D23+'AT3B_cvrg(Insti)_UPY '!D23+'AT3C_cvrg(Insti)_UPY '!D23</f>
        <v>3</v>
      </c>
      <c r="E24" s="430">
        <v>0</v>
      </c>
      <c r="F24" s="430">
        <f>'AT3A_cvrg(Insti)_PY'!E23+'AT3B_cvrg(Insti)_UPY '!E23+'AT3C_cvrg(Insti)_UPY '!E23</f>
        <v>0</v>
      </c>
      <c r="G24" s="430">
        <f>'AT3A_cvrg(Insti)_PY'!F23+'AT3B_cvrg(Insti)_UPY '!F23+'AT3C_cvrg(Insti)_UPY '!F23</f>
        <v>1</v>
      </c>
      <c r="H24" s="430">
        <f t="shared" si="0"/>
        <v>700</v>
      </c>
      <c r="I24" s="431">
        <v>653</v>
      </c>
      <c r="J24" s="430">
        <v>3</v>
      </c>
      <c r="K24" s="430">
        <v>0</v>
      </c>
      <c r="L24" s="430">
        <v>0</v>
      </c>
      <c r="M24" s="430">
        <v>2</v>
      </c>
      <c r="N24" s="431">
        <f t="shared" si="1"/>
        <v>658</v>
      </c>
      <c r="O24" s="430">
        <v>0</v>
      </c>
      <c r="P24" s="430">
        <v>0</v>
      </c>
      <c r="Q24" s="430">
        <v>0</v>
      </c>
      <c r="R24" s="430">
        <v>0</v>
      </c>
      <c r="S24" s="430">
        <v>0</v>
      </c>
      <c r="T24" s="430">
        <f t="shared" si="2"/>
        <v>0</v>
      </c>
      <c r="U24" s="431"/>
      <c r="V24" s="431"/>
      <c r="W24" s="431"/>
      <c r="X24" s="431"/>
      <c r="Y24" s="431"/>
      <c r="Z24" s="431">
        <f t="shared" si="3"/>
        <v>0</v>
      </c>
      <c r="AA24" s="430"/>
      <c r="AB24" s="430"/>
      <c r="AC24" s="430"/>
      <c r="AD24" s="430"/>
      <c r="AE24" s="430"/>
      <c r="AF24" s="430">
        <f t="shared" si="4"/>
        <v>0</v>
      </c>
    </row>
    <row r="25" spans="1:32" s="435" customFormat="1" ht="15">
      <c r="A25" s="432">
        <v>14</v>
      </c>
      <c r="B25" s="224" t="s">
        <v>844</v>
      </c>
      <c r="C25" s="433">
        <f>'AT3A_cvrg(Insti)_PY'!C24+'AT3B_cvrg(Insti)_UPY '!C24+'AT3C_cvrg(Insti)_UPY '!C24</f>
        <v>723</v>
      </c>
      <c r="D25" s="433">
        <f>'AT3A_cvrg(Insti)_PY'!D24+'AT3B_cvrg(Insti)_UPY '!D24+'AT3C_cvrg(Insti)_UPY '!D24</f>
        <v>0</v>
      </c>
      <c r="E25" s="433">
        <v>0</v>
      </c>
      <c r="F25" s="433">
        <f>'AT3A_cvrg(Insti)_PY'!E24+'AT3B_cvrg(Insti)_UPY '!E24+'AT3C_cvrg(Insti)_UPY '!E24</f>
        <v>0</v>
      </c>
      <c r="G25" s="433">
        <f>'AT3A_cvrg(Insti)_PY'!F24+'AT3B_cvrg(Insti)_UPY '!F24+'AT3C_cvrg(Insti)_UPY '!F24</f>
        <v>0</v>
      </c>
      <c r="H25" s="433">
        <f t="shared" si="0"/>
        <v>723</v>
      </c>
      <c r="I25" s="434">
        <v>1109</v>
      </c>
      <c r="J25" s="433">
        <v>0</v>
      </c>
      <c r="K25" s="433">
        <v>0</v>
      </c>
      <c r="L25" s="433">
        <v>0</v>
      </c>
      <c r="M25" s="433">
        <v>5</v>
      </c>
      <c r="N25" s="434">
        <f t="shared" si="1"/>
        <v>1114</v>
      </c>
      <c r="O25" s="433">
        <v>0</v>
      </c>
      <c r="P25" s="433">
        <v>0</v>
      </c>
      <c r="Q25" s="433">
        <v>0</v>
      </c>
      <c r="R25" s="433">
        <v>0</v>
      </c>
      <c r="S25" s="433">
        <v>0</v>
      </c>
      <c r="T25" s="433">
        <f t="shared" si="2"/>
        <v>0</v>
      </c>
      <c r="U25" s="434"/>
      <c r="V25" s="434"/>
      <c r="W25" s="434"/>
      <c r="X25" s="434"/>
      <c r="Y25" s="434"/>
      <c r="Z25" s="434">
        <f t="shared" si="3"/>
        <v>0</v>
      </c>
      <c r="AA25" s="433"/>
      <c r="AB25" s="433"/>
      <c r="AC25" s="433"/>
      <c r="AD25" s="433"/>
      <c r="AE25" s="433"/>
      <c r="AF25" s="433">
        <f t="shared" si="4"/>
        <v>0</v>
      </c>
    </row>
    <row r="26" spans="1:32" ht="15">
      <c r="A26" s="429">
        <v>15</v>
      </c>
      <c r="B26" s="224" t="s">
        <v>845</v>
      </c>
      <c r="C26" s="430">
        <f>'AT3A_cvrg(Insti)_PY'!C25+'AT3B_cvrg(Insti)_UPY '!C25+'AT3C_cvrg(Insti)_UPY '!C25</f>
        <v>1790</v>
      </c>
      <c r="D26" s="430">
        <f>'AT3A_cvrg(Insti)_PY'!D25+'AT3B_cvrg(Insti)_UPY '!D25+'AT3C_cvrg(Insti)_UPY '!D25</f>
        <v>1</v>
      </c>
      <c r="E26" s="430">
        <v>0</v>
      </c>
      <c r="F26" s="430">
        <f>'AT3A_cvrg(Insti)_PY'!E25+'AT3B_cvrg(Insti)_UPY '!E25+'AT3C_cvrg(Insti)_UPY '!E25</f>
        <v>0</v>
      </c>
      <c r="G26" s="430">
        <f>'AT3A_cvrg(Insti)_PY'!F25+'AT3B_cvrg(Insti)_UPY '!F25+'AT3C_cvrg(Insti)_UPY '!F25</f>
        <v>3</v>
      </c>
      <c r="H26" s="430">
        <f t="shared" si="0"/>
        <v>1794</v>
      </c>
      <c r="I26" s="431">
        <v>2201</v>
      </c>
      <c r="J26" s="430">
        <v>1</v>
      </c>
      <c r="K26" s="430">
        <v>0</v>
      </c>
      <c r="L26" s="430">
        <v>0</v>
      </c>
      <c r="M26" s="430">
        <v>2</v>
      </c>
      <c r="N26" s="431">
        <f t="shared" si="1"/>
        <v>2204</v>
      </c>
      <c r="O26" s="430">
        <v>0</v>
      </c>
      <c r="P26" s="430">
        <v>0</v>
      </c>
      <c r="Q26" s="430">
        <v>0</v>
      </c>
      <c r="R26" s="430">
        <v>0</v>
      </c>
      <c r="S26" s="430">
        <v>0</v>
      </c>
      <c r="T26" s="430">
        <f t="shared" si="2"/>
        <v>0</v>
      </c>
      <c r="U26" s="431"/>
      <c r="V26" s="431"/>
      <c r="W26" s="431"/>
      <c r="X26" s="431"/>
      <c r="Y26" s="431"/>
      <c r="Z26" s="431">
        <f t="shared" si="3"/>
        <v>0</v>
      </c>
      <c r="AA26" s="430"/>
      <c r="AB26" s="430"/>
      <c r="AC26" s="430"/>
      <c r="AD26" s="430"/>
      <c r="AE26" s="430"/>
      <c r="AF26" s="430">
        <f t="shared" si="4"/>
        <v>0</v>
      </c>
    </row>
    <row r="27" spans="1:32" s="435" customFormat="1" ht="15">
      <c r="A27" s="432">
        <v>16</v>
      </c>
      <c r="B27" s="224" t="s">
        <v>846</v>
      </c>
      <c r="C27" s="433">
        <f>'AT3A_cvrg(Insti)_PY'!C26+'AT3B_cvrg(Insti)_UPY '!C26+'AT3C_cvrg(Insti)_UPY '!C26</f>
        <v>3327</v>
      </c>
      <c r="D27" s="433">
        <f>'AT3A_cvrg(Insti)_PY'!D26+'AT3B_cvrg(Insti)_UPY '!D26+'AT3C_cvrg(Insti)_UPY '!D26</f>
        <v>29</v>
      </c>
      <c r="E27" s="433">
        <v>0</v>
      </c>
      <c r="F27" s="433">
        <f>'AT3A_cvrg(Insti)_PY'!E26+'AT3B_cvrg(Insti)_UPY '!E26+'AT3C_cvrg(Insti)_UPY '!E26</f>
        <v>0</v>
      </c>
      <c r="G27" s="433">
        <f>'AT3A_cvrg(Insti)_PY'!F26+'AT3B_cvrg(Insti)_UPY '!F26+'AT3C_cvrg(Insti)_UPY '!F26</f>
        <v>6</v>
      </c>
      <c r="H27" s="433">
        <f t="shared" si="0"/>
        <v>3362</v>
      </c>
      <c r="I27" s="434">
        <v>2620</v>
      </c>
      <c r="J27" s="433">
        <v>18</v>
      </c>
      <c r="K27" s="433">
        <v>0</v>
      </c>
      <c r="L27" s="433">
        <v>0</v>
      </c>
      <c r="M27" s="433">
        <v>3</v>
      </c>
      <c r="N27" s="434">
        <f t="shared" si="1"/>
        <v>2641</v>
      </c>
      <c r="O27" s="433">
        <v>0</v>
      </c>
      <c r="P27" s="433">
        <v>0</v>
      </c>
      <c r="Q27" s="433">
        <v>0</v>
      </c>
      <c r="R27" s="433">
        <v>0</v>
      </c>
      <c r="S27" s="433">
        <v>0</v>
      </c>
      <c r="T27" s="433">
        <f t="shared" si="2"/>
        <v>0</v>
      </c>
      <c r="U27" s="434"/>
      <c r="V27" s="434"/>
      <c r="W27" s="434"/>
      <c r="X27" s="434"/>
      <c r="Y27" s="434"/>
      <c r="Z27" s="434">
        <f t="shared" si="3"/>
        <v>0</v>
      </c>
      <c r="AA27" s="433"/>
      <c r="AB27" s="433"/>
      <c r="AC27" s="433"/>
      <c r="AD27" s="433"/>
      <c r="AE27" s="433"/>
      <c r="AF27" s="433">
        <f t="shared" si="4"/>
        <v>0</v>
      </c>
    </row>
    <row r="28" spans="1:32" ht="15">
      <c r="A28" s="429">
        <v>17</v>
      </c>
      <c r="B28" s="224" t="s">
        <v>847</v>
      </c>
      <c r="C28" s="430">
        <f>'AT3A_cvrg(Insti)_PY'!C27+'AT3B_cvrg(Insti)_UPY '!C27+'AT3C_cvrg(Insti)_UPY '!C27</f>
        <v>1818</v>
      </c>
      <c r="D28" s="430">
        <f>'AT3A_cvrg(Insti)_PY'!D27+'AT3B_cvrg(Insti)_UPY '!D27+'AT3C_cvrg(Insti)_UPY '!D27</f>
        <v>12</v>
      </c>
      <c r="E28" s="430">
        <v>0</v>
      </c>
      <c r="F28" s="430">
        <f>'AT3A_cvrg(Insti)_PY'!E27+'AT3B_cvrg(Insti)_UPY '!E27+'AT3C_cvrg(Insti)_UPY '!E27</f>
        <v>0</v>
      </c>
      <c r="G28" s="430">
        <f>'AT3A_cvrg(Insti)_PY'!F27+'AT3B_cvrg(Insti)_UPY '!F27+'AT3C_cvrg(Insti)_UPY '!F27</f>
        <v>2</v>
      </c>
      <c r="H28" s="430">
        <f t="shared" si="0"/>
        <v>1832</v>
      </c>
      <c r="I28" s="431">
        <v>1757</v>
      </c>
      <c r="J28" s="430">
        <v>11</v>
      </c>
      <c r="K28" s="430">
        <v>0</v>
      </c>
      <c r="L28" s="430">
        <v>0</v>
      </c>
      <c r="M28" s="430">
        <v>2</v>
      </c>
      <c r="N28" s="431">
        <f t="shared" si="1"/>
        <v>1770</v>
      </c>
      <c r="O28" s="430">
        <v>0</v>
      </c>
      <c r="P28" s="430">
        <v>0</v>
      </c>
      <c r="Q28" s="430">
        <v>0</v>
      </c>
      <c r="R28" s="430">
        <v>0</v>
      </c>
      <c r="S28" s="430">
        <v>0</v>
      </c>
      <c r="T28" s="430">
        <f t="shared" si="2"/>
        <v>0</v>
      </c>
      <c r="U28" s="431"/>
      <c r="V28" s="431"/>
      <c r="W28" s="431"/>
      <c r="X28" s="431"/>
      <c r="Y28" s="431"/>
      <c r="Z28" s="431">
        <f t="shared" si="3"/>
        <v>0</v>
      </c>
      <c r="AA28" s="430"/>
      <c r="AB28" s="430"/>
      <c r="AC28" s="430"/>
      <c r="AD28" s="430"/>
      <c r="AE28" s="430"/>
      <c r="AF28" s="430">
        <f t="shared" si="4"/>
        <v>0</v>
      </c>
    </row>
    <row r="29" spans="1:32" s="435" customFormat="1" ht="15">
      <c r="A29" s="432">
        <v>18</v>
      </c>
      <c r="B29" s="224" t="s">
        <v>848</v>
      </c>
      <c r="C29" s="433">
        <f>'AT3A_cvrg(Insti)_PY'!C28+'AT3B_cvrg(Insti)_UPY '!C28+'AT3C_cvrg(Insti)_UPY '!C28</f>
        <v>1726</v>
      </c>
      <c r="D29" s="433">
        <f>'AT3A_cvrg(Insti)_PY'!D28+'AT3B_cvrg(Insti)_UPY '!D28+'AT3C_cvrg(Insti)_UPY '!D28</f>
        <v>2</v>
      </c>
      <c r="E29" s="433">
        <v>0</v>
      </c>
      <c r="F29" s="433">
        <f>'AT3A_cvrg(Insti)_PY'!E28+'AT3B_cvrg(Insti)_UPY '!E28+'AT3C_cvrg(Insti)_UPY '!E28</f>
        <v>0</v>
      </c>
      <c r="G29" s="433">
        <f>'AT3A_cvrg(Insti)_PY'!F28+'AT3B_cvrg(Insti)_UPY '!F28+'AT3C_cvrg(Insti)_UPY '!F28</f>
        <v>2</v>
      </c>
      <c r="H29" s="433">
        <f t="shared" si="0"/>
        <v>1730</v>
      </c>
      <c r="I29" s="434">
        <v>2080</v>
      </c>
      <c r="J29" s="433">
        <v>2</v>
      </c>
      <c r="K29" s="433">
        <v>0</v>
      </c>
      <c r="L29" s="433">
        <v>0</v>
      </c>
      <c r="M29" s="433">
        <v>2</v>
      </c>
      <c r="N29" s="434">
        <f t="shared" si="1"/>
        <v>2084</v>
      </c>
      <c r="O29" s="433">
        <v>0</v>
      </c>
      <c r="P29" s="433">
        <v>0</v>
      </c>
      <c r="Q29" s="433">
        <v>0</v>
      </c>
      <c r="R29" s="433">
        <v>0</v>
      </c>
      <c r="S29" s="433">
        <v>0</v>
      </c>
      <c r="T29" s="433">
        <f t="shared" si="2"/>
        <v>0</v>
      </c>
      <c r="U29" s="434"/>
      <c r="V29" s="434"/>
      <c r="W29" s="434"/>
      <c r="X29" s="434"/>
      <c r="Y29" s="434"/>
      <c r="Z29" s="434">
        <f t="shared" si="3"/>
        <v>0</v>
      </c>
      <c r="AA29" s="433"/>
      <c r="AB29" s="433"/>
      <c r="AC29" s="433"/>
      <c r="AD29" s="433"/>
      <c r="AE29" s="433"/>
      <c r="AF29" s="433">
        <f t="shared" si="4"/>
        <v>0</v>
      </c>
    </row>
    <row r="30" spans="1:32" ht="15">
      <c r="A30" s="429">
        <v>19</v>
      </c>
      <c r="B30" s="224" t="s">
        <v>849</v>
      </c>
      <c r="C30" s="430">
        <f>'AT3A_cvrg(Insti)_PY'!C29+'AT3B_cvrg(Insti)_UPY '!C29+'AT3C_cvrg(Insti)_UPY '!C29</f>
        <v>2448</v>
      </c>
      <c r="D30" s="430">
        <f>'AT3A_cvrg(Insti)_PY'!D29+'AT3B_cvrg(Insti)_UPY '!D29+'AT3C_cvrg(Insti)_UPY '!D29</f>
        <v>21</v>
      </c>
      <c r="E30" s="430">
        <v>0</v>
      </c>
      <c r="F30" s="430">
        <f>'AT3A_cvrg(Insti)_PY'!E29+'AT3B_cvrg(Insti)_UPY '!E29+'AT3C_cvrg(Insti)_UPY '!E29</f>
        <v>26</v>
      </c>
      <c r="G30" s="430">
        <f>'AT3A_cvrg(Insti)_PY'!F29+'AT3B_cvrg(Insti)_UPY '!F29+'AT3C_cvrg(Insti)_UPY '!F29</f>
        <v>2</v>
      </c>
      <c r="H30" s="430">
        <f t="shared" si="0"/>
        <v>2497</v>
      </c>
      <c r="I30" s="431">
        <v>1544</v>
      </c>
      <c r="J30" s="430">
        <v>21</v>
      </c>
      <c r="K30" s="430">
        <v>0</v>
      </c>
      <c r="L30" s="430">
        <v>0</v>
      </c>
      <c r="M30" s="430">
        <v>2</v>
      </c>
      <c r="N30" s="431">
        <f t="shared" si="1"/>
        <v>1567</v>
      </c>
      <c r="O30" s="430">
        <v>0</v>
      </c>
      <c r="P30" s="430">
        <v>0</v>
      </c>
      <c r="Q30" s="430">
        <v>0</v>
      </c>
      <c r="R30" s="430">
        <v>0</v>
      </c>
      <c r="S30" s="430">
        <v>0</v>
      </c>
      <c r="T30" s="430">
        <f t="shared" si="2"/>
        <v>0</v>
      </c>
      <c r="U30" s="431"/>
      <c r="V30" s="431"/>
      <c r="W30" s="431"/>
      <c r="X30" s="431"/>
      <c r="Y30" s="431"/>
      <c r="Z30" s="431">
        <f t="shared" si="3"/>
        <v>0</v>
      </c>
      <c r="AA30" s="430"/>
      <c r="AB30" s="430"/>
      <c r="AC30" s="430"/>
      <c r="AD30" s="430"/>
      <c r="AE30" s="430"/>
      <c r="AF30" s="430">
        <f t="shared" si="4"/>
        <v>0</v>
      </c>
    </row>
    <row r="31" spans="1:32" s="435" customFormat="1" ht="15">
      <c r="A31" s="432">
        <v>20</v>
      </c>
      <c r="B31" s="224" t="s">
        <v>850</v>
      </c>
      <c r="C31" s="433">
        <f>'AT3A_cvrg(Insti)_PY'!C30+'AT3B_cvrg(Insti)_UPY '!C30+'AT3C_cvrg(Insti)_UPY '!C30</f>
        <v>1161</v>
      </c>
      <c r="D31" s="433">
        <f>'AT3A_cvrg(Insti)_PY'!D30+'AT3B_cvrg(Insti)_UPY '!D30+'AT3C_cvrg(Insti)_UPY '!D30</f>
        <v>3</v>
      </c>
      <c r="E31" s="433">
        <v>0</v>
      </c>
      <c r="F31" s="433">
        <f>'AT3A_cvrg(Insti)_PY'!E30+'AT3B_cvrg(Insti)_UPY '!E30+'AT3C_cvrg(Insti)_UPY '!E30</f>
        <v>0</v>
      </c>
      <c r="G31" s="433">
        <f>'AT3A_cvrg(Insti)_PY'!F30+'AT3B_cvrg(Insti)_UPY '!F30+'AT3C_cvrg(Insti)_UPY '!F30</f>
        <v>2</v>
      </c>
      <c r="H31" s="433">
        <f t="shared" si="0"/>
        <v>1166</v>
      </c>
      <c r="I31" s="434">
        <v>1484</v>
      </c>
      <c r="J31" s="433">
        <v>3</v>
      </c>
      <c r="K31" s="433">
        <v>0</v>
      </c>
      <c r="L31" s="433">
        <v>0</v>
      </c>
      <c r="M31" s="433">
        <v>2</v>
      </c>
      <c r="N31" s="434">
        <f t="shared" si="1"/>
        <v>1489</v>
      </c>
      <c r="O31" s="433">
        <v>0</v>
      </c>
      <c r="P31" s="433">
        <v>0</v>
      </c>
      <c r="Q31" s="433">
        <v>0</v>
      </c>
      <c r="R31" s="433">
        <v>0</v>
      </c>
      <c r="S31" s="433">
        <v>0</v>
      </c>
      <c r="T31" s="433">
        <f t="shared" si="2"/>
        <v>0</v>
      </c>
      <c r="U31" s="434"/>
      <c r="V31" s="434"/>
      <c r="W31" s="434"/>
      <c r="X31" s="434"/>
      <c r="Y31" s="434"/>
      <c r="Z31" s="434">
        <f t="shared" si="3"/>
        <v>0</v>
      </c>
      <c r="AA31" s="433"/>
      <c r="AB31" s="433"/>
      <c r="AC31" s="433"/>
      <c r="AD31" s="433"/>
      <c r="AE31" s="433"/>
      <c r="AF31" s="433">
        <f t="shared" si="4"/>
        <v>0</v>
      </c>
    </row>
    <row r="32" spans="1:32" ht="15">
      <c r="A32" s="429">
        <v>21</v>
      </c>
      <c r="B32" s="224" t="s">
        <v>851</v>
      </c>
      <c r="C32" s="430">
        <f>'AT3A_cvrg(Insti)_PY'!C31+'AT3B_cvrg(Insti)_UPY '!C31+'AT3C_cvrg(Insti)_UPY '!C31</f>
        <v>1381</v>
      </c>
      <c r="D32" s="430">
        <f>'AT3A_cvrg(Insti)_PY'!D31+'AT3B_cvrg(Insti)_UPY '!D31+'AT3C_cvrg(Insti)_UPY '!D31</f>
        <v>7</v>
      </c>
      <c r="E32" s="430">
        <v>0</v>
      </c>
      <c r="F32" s="430">
        <f>'AT3A_cvrg(Insti)_PY'!E31+'AT3B_cvrg(Insti)_UPY '!E31+'AT3C_cvrg(Insti)_UPY '!E31</f>
        <v>7</v>
      </c>
      <c r="G32" s="430">
        <f>'AT3A_cvrg(Insti)_PY'!F31+'AT3B_cvrg(Insti)_UPY '!F31+'AT3C_cvrg(Insti)_UPY '!F31</f>
        <v>43</v>
      </c>
      <c r="H32" s="430">
        <f t="shared" si="0"/>
        <v>1438</v>
      </c>
      <c r="I32" s="431">
        <v>1807</v>
      </c>
      <c r="J32" s="430">
        <v>6</v>
      </c>
      <c r="K32" s="430">
        <v>0</v>
      </c>
      <c r="L32" s="430">
        <v>0</v>
      </c>
      <c r="M32" s="430">
        <v>43</v>
      </c>
      <c r="N32" s="431">
        <f t="shared" si="1"/>
        <v>1856</v>
      </c>
      <c r="O32" s="430">
        <v>0</v>
      </c>
      <c r="P32" s="430">
        <v>0</v>
      </c>
      <c r="Q32" s="430">
        <v>0</v>
      </c>
      <c r="R32" s="430">
        <v>0</v>
      </c>
      <c r="S32" s="430">
        <v>0</v>
      </c>
      <c r="T32" s="430">
        <f t="shared" si="2"/>
        <v>0</v>
      </c>
      <c r="U32" s="431"/>
      <c r="V32" s="431"/>
      <c r="W32" s="431"/>
      <c r="X32" s="431"/>
      <c r="Y32" s="431"/>
      <c r="Z32" s="431">
        <f t="shared" si="3"/>
        <v>0</v>
      </c>
      <c r="AA32" s="430"/>
      <c r="AB32" s="430"/>
      <c r="AC32" s="430"/>
      <c r="AD32" s="430"/>
      <c r="AE32" s="430"/>
      <c r="AF32" s="430">
        <f t="shared" si="4"/>
        <v>0</v>
      </c>
    </row>
    <row r="33" spans="1:32" ht="15">
      <c r="A33" s="429">
        <v>22</v>
      </c>
      <c r="B33" s="224" t="s">
        <v>852</v>
      </c>
      <c r="C33" s="430">
        <f>'AT3A_cvrg(Insti)_PY'!C32+'AT3B_cvrg(Insti)_UPY '!C32+'AT3C_cvrg(Insti)_UPY '!C32</f>
        <v>1004</v>
      </c>
      <c r="D33" s="430">
        <f>'AT3A_cvrg(Insti)_PY'!D32+'AT3B_cvrg(Insti)_UPY '!D32+'AT3C_cvrg(Insti)_UPY '!D32</f>
        <v>11</v>
      </c>
      <c r="E33" s="430">
        <v>0</v>
      </c>
      <c r="F33" s="430">
        <f>'AT3A_cvrg(Insti)_PY'!E32+'AT3B_cvrg(Insti)_UPY '!E32+'AT3C_cvrg(Insti)_UPY '!E32</f>
        <v>19</v>
      </c>
      <c r="G33" s="430">
        <f>'AT3A_cvrg(Insti)_PY'!F32+'AT3B_cvrg(Insti)_UPY '!F32+'AT3C_cvrg(Insti)_UPY '!F32</f>
        <v>27</v>
      </c>
      <c r="H33" s="430">
        <f t="shared" si="0"/>
        <v>1061</v>
      </c>
      <c r="I33" s="431">
        <v>1314</v>
      </c>
      <c r="J33" s="430">
        <v>11</v>
      </c>
      <c r="K33" s="430">
        <v>0</v>
      </c>
      <c r="L33" s="430">
        <v>0</v>
      </c>
      <c r="M33" s="430">
        <v>27</v>
      </c>
      <c r="N33" s="431">
        <f t="shared" si="1"/>
        <v>1352</v>
      </c>
      <c r="O33" s="430">
        <v>0</v>
      </c>
      <c r="P33" s="430">
        <v>0</v>
      </c>
      <c r="Q33" s="430">
        <v>0</v>
      </c>
      <c r="R33" s="430">
        <v>0</v>
      </c>
      <c r="S33" s="430">
        <v>0</v>
      </c>
      <c r="T33" s="430">
        <f t="shared" si="2"/>
        <v>0</v>
      </c>
      <c r="U33" s="431"/>
      <c r="V33" s="431"/>
      <c r="W33" s="431"/>
      <c r="X33" s="431"/>
      <c r="Y33" s="431"/>
      <c r="Z33" s="431">
        <f t="shared" si="3"/>
        <v>0</v>
      </c>
      <c r="AA33" s="430"/>
      <c r="AB33" s="430"/>
      <c r="AC33" s="430"/>
      <c r="AD33" s="430"/>
      <c r="AE33" s="430"/>
      <c r="AF33" s="430">
        <f t="shared" si="4"/>
        <v>0</v>
      </c>
    </row>
    <row r="34" spans="1:58" s="430" customFormat="1" ht="15">
      <c r="A34" s="429">
        <v>23</v>
      </c>
      <c r="B34" s="224" t="s">
        <v>853</v>
      </c>
      <c r="C34" s="430">
        <f>'AT3A_cvrg(Insti)_PY'!C33+'AT3B_cvrg(Insti)_UPY '!C33+'AT3C_cvrg(Insti)_UPY '!C33</f>
        <v>1656</v>
      </c>
      <c r="D34" s="430">
        <f>'AT3A_cvrg(Insti)_PY'!D33+'AT3B_cvrg(Insti)_UPY '!D33+'AT3C_cvrg(Insti)_UPY '!D33</f>
        <v>4</v>
      </c>
      <c r="E34" s="430">
        <v>0</v>
      </c>
      <c r="F34" s="430">
        <f>'AT3A_cvrg(Insti)_PY'!E33+'AT3B_cvrg(Insti)_UPY '!E33+'AT3C_cvrg(Insti)_UPY '!E33</f>
        <v>0</v>
      </c>
      <c r="G34" s="430">
        <f>'AT3A_cvrg(Insti)_PY'!F33+'AT3B_cvrg(Insti)_UPY '!F33+'AT3C_cvrg(Insti)_UPY '!F33</f>
        <v>67</v>
      </c>
      <c r="H34" s="430">
        <f t="shared" si="0"/>
        <v>1727</v>
      </c>
      <c r="I34" s="431">
        <v>1347</v>
      </c>
      <c r="J34" s="430">
        <v>4</v>
      </c>
      <c r="K34" s="430">
        <v>0</v>
      </c>
      <c r="L34" s="430">
        <v>0</v>
      </c>
      <c r="M34" s="430">
        <v>67</v>
      </c>
      <c r="N34" s="431">
        <f t="shared" si="1"/>
        <v>1418</v>
      </c>
      <c r="O34" s="430">
        <v>0</v>
      </c>
      <c r="P34" s="430">
        <v>0</v>
      </c>
      <c r="Q34" s="430">
        <v>0</v>
      </c>
      <c r="R34" s="430">
        <v>0</v>
      </c>
      <c r="S34" s="430">
        <v>0</v>
      </c>
      <c r="T34" s="430">
        <f t="shared" si="2"/>
        <v>0</v>
      </c>
      <c r="U34" s="431"/>
      <c r="V34" s="431"/>
      <c r="W34" s="431"/>
      <c r="X34" s="431"/>
      <c r="Y34" s="431"/>
      <c r="Z34" s="431">
        <f t="shared" si="3"/>
        <v>0</v>
      </c>
      <c r="AF34" s="430">
        <f t="shared" si="4"/>
        <v>0</v>
      </c>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row>
    <row r="35" spans="1:32" ht="15">
      <c r="A35" s="429">
        <v>24</v>
      </c>
      <c r="B35" s="224" t="s">
        <v>854</v>
      </c>
      <c r="C35" s="430">
        <f>'AT3A_cvrg(Insti)_PY'!C34+'AT3B_cvrg(Insti)_UPY '!C34+'AT3C_cvrg(Insti)_UPY '!C34</f>
        <v>2091</v>
      </c>
      <c r="D35" s="430">
        <f>'AT3A_cvrg(Insti)_PY'!D34+'AT3B_cvrg(Insti)_UPY '!D34+'AT3C_cvrg(Insti)_UPY '!D34</f>
        <v>0</v>
      </c>
      <c r="E35" s="430">
        <v>0</v>
      </c>
      <c r="F35" s="430">
        <f>'AT3A_cvrg(Insti)_PY'!E34+'AT3B_cvrg(Insti)_UPY '!E34+'AT3C_cvrg(Insti)_UPY '!E34</f>
        <v>0</v>
      </c>
      <c r="G35" s="430">
        <f>'AT3A_cvrg(Insti)_PY'!F34+'AT3B_cvrg(Insti)_UPY '!F34+'AT3C_cvrg(Insti)_UPY '!F34</f>
        <v>1</v>
      </c>
      <c r="H35" s="430">
        <f t="shared" si="0"/>
        <v>2092</v>
      </c>
      <c r="I35" s="431">
        <v>1767</v>
      </c>
      <c r="J35" s="430">
        <v>6</v>
      </c>
      <c r="K35" s="430">
        <v>0</v>
      </c>
      <c r="L35" s="430">
        <v>0</v>
      </c>
      <c r="M35" s="430">
        <v>3</v>
      </c>
      <c r="N35" s="431">
        <f t="shared" si="1"/>
        <v>1776</v>
      </c>
      <c r="O35" s="430">
        <v>0</v>
      </c>
      <c r="P35" s="430">
        <v>0</v>
      </c>
      <c r="Q35" s="430">
        <v>0</v>
      </c>
      <c r="R35" s="430">
        <v>0</v>
      </c>
      <c r="S35" s="430">
        <v>0</v>
      </c>
      <c r="T35" s="430">
        <f t="shared" si="2"/>
        <v>0</v>
      </c>
      <c r="U35" s="431"/>
      <c r="V35" s="431"/>
      <c r="W35" s="431"/>
      <c r="X35" s="431"/>
      <c r="Y35" s="431"/>
      <c r="Z35" s="431">
        <f t="shared" si="3"/>
        <v>0</v>
      </c>
      <c r="AA35" s="430"/>
      <c r="AB35" s="430"/>
      <c r="AC35" s="430"/>
      <c r="AD35" s="430"/>
      <c r="AE35" s="430"/>
      <c r="AF35" s="430">
        <f t="shared" si="4"/>
        <v>0</v>
      </c>
    </row>
    <row r="36" spans="1:32" s="423" customFormat="1" ht="15">
      <c r="A36" s="968" t="s">
        <v>13</v>
      </c>
      <c r="B36" s="969"/>
      <c r="C36" s="437">
        <f aca="true" t="shared" si="5" ref="C36:M36">SUM(C12:C35)</f>
        <v>38453</v>
      </c>
      <c r="D36" s="437">
        <f t="shared" si="5"/>
        <v>962</v>
      </c>
      <c r="E36" s="437">
        <f t="shared" si="5"/>
        <v>0</v>
      </c>
      <c r="F36" s="437">
        <f t="shared" si="5"/>
        <v>148</v>
      </c>
      <c r="G36" s="437">
        <f t="shared" si="5"/>
        <v>177</v>
      </c>
      <c r="H36" s="437">
        <f t="shared" si="5"/>
        <v>39740</v>
      </c>
      <c r="I36" s="438">
        <f t="shared" si="5"/>
        <v>35922</v>
      </c>
      <c r="J36" s="437">
        <f t="shared" si="5"/>
        <v>1006</v>
      </c>
      <c r="K36" s="437">
        <f t="shared" si="5"/>
        <v>0</v>
      </c>
      <c r="L36" s="437">
        <f t="shared" si="5"/>
        <v>30</v>
      </c>
      <c r="M36" s="437">
        <f t="shared" si="5"/>
        <v>174</v>
      </c>
      <c r="N36" s="438">
        <f>SUM(I36:M36)</f>
        <v>37132</v>
      </c>
      <c r="O36" s="437">
        <f>SUM(O12:O35)</f>
        <v>0</v>
      </c>
      <c r="P36" s="437">
        <f>SUM(P12:P35)</f>
        <v>0</v>
      </c>
      <c r="Q36" s="437">
        <f>SUM(Q12:Q35)</f>
        <v>0</v>
      </c>
      <c r="R36" s="437">
        <f>SUM(R12:R35)</f>
        <v>0</v>
      </c>
      <c r="S36" s="437">
        <f>SUM(S12:S35)</f>
        <v>0</v>
      </c>
      <c r="T36" s="437">
        <f>SUM(O36:S36)</f>
        <v>0</v>
      </c>
      <c r="U36" s="438">
        <f aca="true" t="shared" si="6" ref="U36:AE36">SUM(U12:U35)</f>
        <v>0</v>
      </c>
      <c r="V36" s="438">
        <f t="shared" si="6"/>
        <v>0</v>
      </c>
      <c r="W36" s="438">
        <f t="shared" si="6"/>
        <v>0</v>
      </c>
      <c r="X36" s="438">
        <f t="shared" si="6"/>
        <v>0</v>
      </c>
      <c r="Y36" s="438">
        <f t="shared" si="6"/>
        <v>0</v>
      </c>
      <c r="Z36" s="438">
        <f t="shared" si="6"/>
        <v>0</v>
      </c>
      <c r="AA36" s="437">
        <f t="shared" si="6"/>
        <v>0</v>
      </c>
      <c r="AB36" s="437">
        <f t="shared" si="6"/>
        <v>0</v>
      </c>
      <c r="AC36" s="437">
        <f t="shared" si="6"/>
        <v>0</v>
      </c>
      <c r="AD36" s="437">
        <f t="shared" si="6"/>
        <v>0</v>
      </c>
      <c r="AE36" s="437">
        <f t="shared" si="6"/>
        <v>0</v>
      </c>
      <c r="AF36" s="437">
        <f>SUM(AA36:AE36)</f>
        <v>0</v>
      </c>
    </row>
    <row r="38" spans="1:32" s="12" customFormat="1" ht="12.75">
      <c r="A38" s="11"/>
      <c r="I38" s="11"/>
      <c r="J38" s="11"/>
      <c r="O38" s="11"/>
      <c r="P38" s="11"/>
      <c r="Q38" s="11"/>
      <c r="R38" s="11"/>
      <c r="S38" s="11"/>
      <c r="T38" s="11"/>
      <c r="U38" s="11"/>
      <c r="V38" s="11"/>
      <c r="W38" s="11"/>
      <c r="X38" s="11"/>
      <c r="Y38" s="11"/>
      <c r="Z38" s="68"/>
      <c r="AA38" s="68"/>
      <c r="AB38" s="68"/>
      <c r="AC38" s="68"/>
      <c r="AD38" s="68"/>
      <c r="AE38" s="68"/>
      <c r="AF38" s="68"/>
    </row>
    <row r="39" spans="14:32" s="12" customFormat="1" ht="12.75" customHeight="1">
      <c r="N39" s="11"/>
      <c r="O39" s="29"/>
      <c r="P39" s="29"/>
      <c r="Q39" s="29"/>
      <c r="R39" s="29"/>
      <c r="S39" s="29"/>
      <c r="T39" s="29"/>
      <c r="U39" s="29"/>
      <c r="V39" s="29"/>
      <c r="W39" s="29"/>
      <c r="X39" s="29"/>
      <c r="Y39" s="29"/>
      <c r="Z39" s="29"/>
      <c r="AA39" s="29"/>
      <c r="AB39" s="29"/>
      <c r="AC39" s="29"/>
      <c r="AD39" s="29"/>
      <c r="AE39" s="29"/>
      <c r="AF39" s="29"/>
    </row>
    <row r="40" spans="14:32" s="12" customFormat="1" ht="12.75" customHeight="1">
      <c r="N40" s="29"/>
      <c r="O40" s="29"/>
      <c r="P40" s="29"/>
      <c r="Q40" s="29"/>
      <c r="R40" s="29"/>
      <c r="S40" s="29"/>
      <c r="T40" s="29"/>
      <c r="U40" s="29"/>
      <c r="V40" s="29"/>
      <c r="W40" s="29"/>
      <c r="X40" s="29"/>
      <c r="Y40" s="29"/>
      <c r="Z40" s="29"/>
      <c r="AA40" s="29"/>
      <c r="AB40" s="29"/>
      <c r="AC40" s="29"/>
      <c r="AD40" s="29"/>
      <c r="AE40" s="29"/>
      <c r="AF40" s="29"/>
    </row>
    <row r="41" spans="1:32" s="12" customFormat="1" ht="12.75">
      <c r="A41" s="11"/>
      <c r="B41" s="11"/>
      <c r="O41" s="11"/>
      <c r="P41" s="11"/>
      <c r="Q41" s="11"/>
      <c r="R41" s="11"/>
      <c r="S41" s="11"/>
      <c r="T41" s="11"/>
      <c r="U41" s="11"/>
      <c r="V41" s="11"/>
      <c r="W41" s="29"/>
      <c r="X41" s="29"/>
      <c r="Y41" s="29"/>
      <c r="Z41" s="29"/>
      <c r="AA41" s="29"/>
      <c r="AB41" s="29"/>
      <c r="AC41" s="29"/>
      <c r="AD41" s="29"/>
      <c r="AE41" s="29"/>
      <c r="AF41" s="29"/>
    </row>
    <row r="42" spans="1:23" ht="15" customHeight="1">
      <c r="A42" s="559" t="s">
        <v>989</v>
      </c>
      <c r="B42" s="559"/>
      <c r="C42" s="559"/>
      <c r="D42" s="12"/>
      <c r="E42" s="12"/>
      <c r="F42" s="12"/>
      <c r="G42" s="12"/>
      <c r="H42" s="239"/>
      <c r="K42" s="559" t="s">
        <v>990</v>
      </c>
      <c r="L42" s="559"/>
      <c r="M42" s="559"/>
      <c r="N42" s="12"/>
      <c r="O42" s="29"/>
      <c r="U42" s="559" t="s">
        <v>996</v>
      </c>
      <c r="V42" s="559"/>
      <c r="W42" s="559"/>
    </row>
    <row r="43" spans="1:23" ht="15" customHeight="1">
      <c r="A43" s="559" t="s">
        <v>991</v>
      </c>
      <c r="B43" s="559"/>
      <c r="C43" s="559"/>
      <c r="D43" s="12"/>
      <c r="E43" s="12"/>
      <c r="F43" s="12"/>
      <c r="G43" s="12"/>
      <c r="H43" s="239"/>
      <c r="K43" s="559" t="s">
        <v>992</v>
      </c>
      <c r="L43" s="559"/>
      <c r="M43" s="559"/>
      <c r="N43" s="12"/>
      <c r="O43" s="29"/>
      <c r="U43" s="559" t="s">
        <v>993</v>
      </c>
      <c r="V43" s="559"/>
      <c r="W43" s="559"/>
    </row>
    <row r="44" spans="1:23" ht="15" customHeight="1">
      <c r="A44" s="559" t="s">
        <v>994</v>
      </c>
      <c r="B44" s="559"/>
      <c r="C44" s="559"/>
      <c r="D44" s="12"/>
      <c r="E44" s="12"/>
      <c r="F44" s="12"/>
      <c r="G44" s="12"/>
      <c r="H44" s="239"/>
      <c r="K44" s="559" t="s">
        <v>995</v>
      </c>
      <c r="L44" s="559"/>
      <c r="M44" s="559"/>
      <c r="N44" s="12"/>
      <c r="O44" s="11"/>
      <c r="U44" s="559" t="s">
        <v>995</v>
      </c>
      <c r="V44" s="559"/>
      <c r="W44" s="559"/>
    </row>
    <row r="45" ht="15">
      <c r="AB45" s="439">
        <f>Z36+AF36</f>
        <v>0</v>
      </c>
    </row>
    <row r="47" ht="15">
      <c r="AB47" s="421">
        <f>AB45*5000/100000</f>
        <v>0</v>
      </c>
    </row>
  </sheetData>
  <sheetProtection/>
  <mergeCells count="21">
    <mergeCell ref="A2:AF2"/>
    <mergeCell ref="AA9:AF9"/>
    <mergeCell ref="A5:AF5"/>
    <mergeCell ref="AE1:AH1"/>
    <mergeCell ref="O9:T9"/>
    <mergeCell ref="A3:AF3"/>
    <mergeCell ref="A44:C44"/>
    <mergeCell ref="U44:W44"/>
    <mergeCell ref="K43:M43"/>
    <mergeCell ref="K44:M44"/>
    <mergeCell ref="B9:B10"/>
    <mergeCell ref="I9:N9"/>
    <mergeCell ref="A43:C43"/>
    <mergeCell ref="U43:W43"/>
    <mergeCell ref="A36:B36"/>
    <mergeCell ref="A9:A10"/>
    <mergeCell ref="U9:Z9"/>
    <mergeCell ref="A42:C42"/>
    <mergeCell ref="U42:W42"/>
    <mergeCell ref="K42:M42"/>
    <mergeCell ref="C9:H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46" r:id="rId1"/>
</worksheet>
</file>

<file path=xl/worksheets/sheet65.xml><?xml version="1.0" encoding="utf-8"?>
<worksheet xmlns="http://schemas.openxmlformats.org/spreadsheetml/2006/main" xmlns:r="http://schemas.openxmlformats.org/officeDocument/2006/relationships">
  <sheetPr>
    <tabColor rgb="FF92D050"/>
    <pageSetUpPr fitToPage="1"/>
  </sheetPr>
  <dimension ref="A1:S44"/>
  <sheetViews>
    <sheetView view="pageBreakPreview" zoomScale="70" zoomScaleNormal="70" zoomScaleSheetLayoutView="70" zoomScalePageLayoutView="0" workbookViewId="0" topLeftCell="A7">
      <selection activeCell="I28" sqref="I28"/>
    </sheetView>
  </sheetViews>
  <sheetFormatPr defaultColWidth="8.8515625" defaultRowHeight="12.75"/>
  <cols>
    <col min="1" max="1" width="8.140625" style="408" customWidth="1"/>
    <col min="2" max="2" width="18.140625" style="408" customWidth="1"/>
    <col min="3" max="3" width="12.140625" style="408" customWidth="1"/>
    <col min="4" max="4" width="11.7109375" style="408" customWidth="1"/>
    <col min="5" max="5" width="11.28125" style="408" customWidth="1"/>
    <col min="6" max="6" width="17.140625" style="408" customWidth="1"/>
    <col min="7" max="7" width="15.140625" style="408" customWidth="1"/>
    <col min="8" max="8" width="14.421875" style="408" customWidth="1"/>
    <col min="9" max="9" width="14.8515625" style="408" customWidth="1"/>
    <col min="10" max="10" width="18.421875" style="408" customWidth="1"/>
    <col min="11" max="11" width="17.28125" style="408" customWidth="1"/>
    <col min="12" max="12" width="16.28125" style="408" customWidth="1"/>
    <col min="13" max="16384" width="8.8515625" style="408" customWidth="1"/>
  </cols>
  <sheetData>
    <row r="1" spans="2:12" ht="15">
      <c r="B1" s="12"/>
      <c r="C1" s="12"/>
      <c r="D1" s="12"/>
      <c r="E1" s="12"/>
      <c r="F1" s="1"/>
      <c r="G1" s="1"/>
      <c r="H1" s="12"/>
      <c r="J1" s="34"/>
      <c r="K1" s="745" t="s">
        <v>549</v>
      </c>
      <c r="L1" s="745"/>
    </row>
    <row r="2" spans="1:12" ht="15.75">
      <c r="A2" s="590" t="s">
        <v>0</v>
      </c>
      <c r="B2" s="590"/>
      <c r="C2" s="590"/>
      <c r="D2" s="590"/>
      <c r="E2" s="590"/>
      <c r="F2" s="590"/>
      <c r="G2" s="590"/>
      <c r="H2" s="590"/>
      <c r="I2" s="590"/>
      <c r="J2" s="590"/>
      <c r="K2" s="590"/>
      <c r="L2" s="590"/>
    </row>
    <row r="3" spans="1:12" ht="20.25">
      <c r="A3" s="591" t="s">
        <v>645</v>
      </c>
      <c r="B3" s="591"/>
      <c r="C3" s="591"/>
      <c r="D3" s="591"/>
      <c r="E3" s="591"/>
      <c r="F3" s="591"/>
      <c r="G3" s="591"/>
      <c r="H3" s="591"/>
      <c r="I3" s="591"/>
      <c r="J3" s="591"/>
      <c r="K3" s="591"/>
      <c r="L3" s="591"/>
    </row>
    <row r="4" spans="2:10" ht="20.25">
      <c r="B4" s="96"/>
      <c r="C4" s="96"/>
      <c r="D4" s="96"/>
      <c r="E4" s="96"/>
      <c r="F4" s="96"/>
      <c r="G4" s="96"/>
      <c r="H4" s="96"/>
      <c r="I4" s="96"/>
      <c r="J4" s="96"/>
    </row>
    <row r="5" spans="1:12" ht="15" customHeight="1">
      <c r="A5" s="795" t="s">
        <v>740</v>
      </c>
      <c r="B5" s="795"/>
      <c r="C5" s="795"/>
      <c r="D5" s="795"/>
      <c r="E5" s="795"/>
      <c r="F5" s="795"/>
      <c r="G5" s="795"/>
      <c r="H5" s="795"/>
      <c r="I5" s="795"/>
      <c r="J5" s="795"/>
      <c r="K5" s="795"/>
      <c r="L5" s="795"/>
    </row>
    <row r="6" spans="1:3" ht="14.25">
      <c r="A6" s="593" t="s">
        <v>157</v>
      </c>
      <c r="B6" s="593"/>
      <c r="C6" s="25"/>
    </row>
    <row r="7" spans="1:12" ht="15" customHeight="1">
      <c r="A7" s="983" t="s">
        <v>103</v>
      </c>
      <c r="B7" s="950" t="s">
        <v>2</v>
      </c>
      <c r="C7" s="974" t="s">
        <v>914</v>
      </c>
      <c r="D7" s="974"/>
      <c r="E7" s="974"/>
      <c r="F7" s="974"/>
      <c r="G7" s="975" t="s">
        <v>915</v>
      </c>
      <c r="H7" s="976"/>
      <c r="I7" s="976"/>
      <c r="J7" s="977"/>
      <c r="K7" s="950" t="s">
        <v>381</v>
      </c>
      <c r="L7" s="716" t="s">
        <v>761</v>
      </c>
    </row>
    <row r="8" spans="1:12" ht="30.75" customHeight="1">
      <c r="A8" s="984"/>
      <c r="B8" s="986"/>
      <c r="C8" s="716" t="s">
        <v>249</v>
      </c>
      <c r="D8" s="950" t="s">
        <v>443</v>
      </c>
      <c r="E8" s="987" t="s">
        <v>89</v>
      </c>
      <c r="F8" s="955"/>
      <c r="G8" s="951" t="s">
        <v>249</v>
      </c>
      <c r="H8" s="716" t="s">
        <v>443</v>
      </c>
      <c r="I8" s="988" t="s">
        <v>89</v>
      </c>
      <c r="J8" s="989"/>
      <c r="K8" s="986"/>
      <c r="L8" s="716"/>
    </row>
    <row r="9" spans="1:15" ht="69.75" customHeight="1">
      <c r="A9" s="985"/>
      <c r="B9" s="951"/>
      <c r="C9" s="716"/>
      <c r="D9" s="951"/>
      <c r="E9" s="107" t="s">
        <v>916</v>
      </c>
      <c r="F9" s="107" t="s">
        <v>444</v>
      </c>
      <c r="G9" s="716"/>
      <c r="H9" s="716"/>
      <c r="I9" s="107" t="s">
        <v>518</v>
      </c>
      <c r="J9" s="107" t="s">
        <v>444</v>
      </c>
      <c r="K9" s="951"/>
      <c r="L9" s="716"/>
      <c r="M9" s="410"/>
      <c r="N9" s="410"/>
      <c r="O9" s="410"/>
    </row>
    <row r="10" spans="1:15" ht="15">
      <c r="A10" s="411">
        <v>1</v>
      </c>
      <c r="B10" s="412">
        <v>2</v>
      </c>
      <c r="C10" s="411">
        <v>3</v>
      </c>
      <c r="D10" s="412">
        <v>4</v>
      </c>
      <c r="E10" s="411">
        <v>5</v>
      </c>
      <c r="F10" s="412">
        <v>6</v>
      </c>
      <c r="G10" s="411">
        <v>7</v>
      </c>
      <c r="H10" s="412">
        <v>8</v>
      </c>
      <c r="I10" s="411">
        <v>9</v>
      </c>
      <c r="J10" s="412">
        <v>10</v>
      </c>
      <c r="K10" s="411" t="s">
        <v>917</v>
      </c>
      <c r="L10" s="412">
        <v>12</v>
      </c>
      <c r="M10" s="410"/>
      <c r="N10" s="410"/>
      <c r="O10" s="410"/>
    </row>
    <row r="11" spans="1:19" s="415" customFormat="1" ht="14.25">
      <c r="A11" s="413">
        <v>1</v>
      </c>
      <c r="B11" s="224" t="s">
        <v>831</v>
      </c>
      <c r="C11" s="414">
        <f>'enrolment vs availed_PY'!G11+'enrolment vs availed_UPY'!G11</f>
        <v>263646</v>
      </c>
      <c r="D11" s="414">
        <f>'AT-8_Hon_CCH_Pry'!C14</f>
        <v>5360</v>
      </c>
      <c r="E11" s="414">
        <f>'AT-8_Hon_CCH_Pry'!D14</f>
        <v>5244</v>
      </c>
      <c r="F11" s="414">
        <f>3625+102+1554+35-5244</f>
        <v>72</v>
      </c>
      <c r="G11" s="414"/>
      <c r="H11" s="414"/>
      <c r="I11" s="414"/>
      <c r="J11" s="414"/>
      <c r="K11" s="415">
        <f>E11+F11</f>
        <v>5316</v>
      </c>
      <c r="L11" s="416">
        <v>0</v>
      </c>
      <c r="M11" s="410"/>
      <c r="N11" s="410"/>
      <c r="O11" s="410"/>
      <c r="P11" s="410"/>
      <c r="Q11" s="410"/>
      <c r="R11" s="410"/>
      <c r="S11" s="410"/>
    </row>
    <row r="12" spans="1:15" ht="14.25">
      <c r="A12" s="413">
        <v>2</v>
      </c>
      <c r="B12" s="224" t="s">
        <v>832</v>
      </c>
      <c r="C12" s="414">
        <f>'enrolment vs availed_PY'!G12+'enrolment vs availed_UPY'!G12</f>
        <v>88160</v>
      </c>
      <c r="D12" s="414">
        <f>'AT-8_Hon_CCH_Pry'!C15</f>
        <v>1802</v>
      </c>
      <c r="E12" s="414">
        <f>'AT-8_Hon_CCH_Pry'!D15</f>
        <v>1627</v>
      </c>
      <c r="F12" s="414">
        <v>10</v>
      </c>
      <c r="G12" s="414"/>
      <c r="H12" s="414"/>
      <c r="I12" s="414"/>
      <c r="J12" s="414"/>
      <c r="K12" s="415">
        <f aca="true" t="shared" si="0" ref="K12:K34">E12+F12</f>
        <v>1637</v>
      </c>
      <c r="L12" s="416">
        <v>0</v>
      </c>
      <c r="M12" s="410"/>
      <c r="N12" s="410"/>
      <c r="O12" s="410"/>
    </row>
    <row r="13" spans="1:15" ht="14.25">
      <c r="A13" s="413">
        <v>3</v>
      </c>
      <c r="B13" s="224" t="s">
        <v>833</v>
      </c>
      <c r="C13" s="414">
        <f>'enrolment vs availed_PY'!G13+'enrolment vs availed_UPY'!G13</f>
        <v>74221</v>
      </c>
      <c r="D13" s="414">
        <f>'AT-8_Hon_CCH_Pry'!C16</f>
        <v>1478</v>
      </c>
      <c r="E13" s="414">
        <f>'AT-8_Hon_CCH_Pry'!D16</f>
        <v>1205</v>
      </c>
      <c r="F13" s="414">
        <v>0</v>
      </c>
      <c r="G13" s="414"/>
      <c r="H13" s="414"/>
      <c r="I13" s="414"/>
      <c r="J13" s="414"/>
      <c r="K13" s="415">
        <f t="shared" si="0"/>
        <v>1205</v>
      </c>
      <c r="L13" s="416">
        <v>0</v>
      </c>
      <c r="M13" s="410"/>
      <c r="N13" s="410"/>
      <c r="O13" s="410"/>
    </row>
    <row r="14" spans="1:15" ht="14.25">
      <c r="A14" s="413">
        <v>4</v>
      </c>
      <c r="B14" s="224" t="s">
        <v>834</v>
      </c>
      <c r="C14" s="414">
        <f>'enrolment vs availed_PY'!G14+'enrolment vs availed_UPY'!G14</f>
        <v>171599</v>
      </c>
      <c r="D14" s="414">
        <f>'AT-8_Hon_CCH_Pry'!C17</f>
        <v>3802</v>
      </c>
      <c r="E14" s="414">
        <f>'AT-8_Hon_CCH_Pry'!D17</f>
        <v>3686</v>
      </c>
      <c r="F14" s="414">
        <f>3721-3686</f>
        <v>35</v>
      </c>
      <c r="G14" s="414"/>
      <c r="H14" s="414"/>
      <c r="I14" s="414"/>
      <c r="J14" s="414"/>
      <c r="K14" s="415">
        <f t="shared" si="0"/>
        <v>3721</v>
      </c>
      <c r="L14" s="416">
        <v>0</v>
      </c>
      <c r="M14" s="410"/>
      <c r="N14" s="410"/>
      <c r="O14" s="410"/>
    </row>
    <row r="15" spans="1:15" ht="14.25">
      <c r="A15" s="413">
        <v>5</v>
      </c>
      <c r="B15" s="224" t="s">
        <v>835</v>
      </c>
      <c r="C15" s="414">
        <f>'enrolment vs availed_PY'!G15+'enrolment vs availed_UPY'!G15</f>
        <v>105146</v>
      </c>
      <c r="D15" s="414">
        <f>'AT-8_Hon_CCH_Pry'!C18</f>
        <v>2269</v>
      </c>
      <c r="E15" s="414">
        <f>'AT-8_Hon_CCH_Pry'!D18</f>
        <v>2099</v>
      </c>
      <c r="F15" s="414">
        <f>2269-2099</f>
        <v>170</v>
      </c>
      <c r="G15" s="414"/>
      <c r="H15" s="414"/>
      <c r="I15" s="414"/>
      <c r="J15" s="414"/>
      <c r="K15" s="415">
        <f t="shared" si="0"/>
        <v>2269</v>
      </c>
      <c r="L15" s="416">
        <v>0</v>
      </c>
      <c r="M15" s="410"/>
      <c r="N15" s="410"/>
      <c r="O15" s="410"/>
    </row>
    <row r="16" spans="1:15" ht="14.25">
      <c r="A16" s="413">
        <v>6</v>
      </c>
      <c r="B16" s="224" t="s">
        <v>836</v>
      </c>
      <c r="C16" s="414">
        <f>'enrolment vs availed_PY'!G16+'enrolment vs availed_UPY'!G16</f>
        <v>184583</v>
      </c>
      <c r="D16" s="414">
        <f>'AT-8_Hon_CCH_Pry'!C19</f>
        <v>3680</v>
      </c>
      <c r="E16" s="414">
        <f>'AT-8_Hon_CCH_Pry'!D19</f>
        <v>3467</v>
      </c>
      <c r="F16" s="414">
        <v>5</v>
      </c>
      <c r="G16" s="414"/>
      <c r="H16" s="414"/>
      <c r="I16" s="414"/>
      <c r="J16" s="414"/>
      <c r="K16" s="415">
        <f t="shared" si="0"/>
        <v>3472</v>
      </c>
      <c r="L16" s="416">
        <v>0</v>
      </c>
      <c r="M16" s="410"/>
      <c r="N16" s="410"/>
      <c r="O16" s="410"/>
    </row>
    <row r="17" spans="1:15" ht="14.25">
      <c r="A17" s="413">
        <v>7</v>
      </c>
      <c r="B17" s="224" t="s">
        <v>837</v>
      </c>
      <c r="C17" s="414">
        <f>'enrolment vs availed_PY'!G17+'enrolment vs availed_UPY'!G17</f>
        <v>128572</v>
      </c>
      <c r="D17" s="414">
        <f>'AT-8_Hon_CCH_Pry'!C20</f>
        <v>3032</v>
      </c>
      <c r="E17" s="414">
        <f>'AT-8_Hon_CCH_Pry'!D20</f>
        <v>2850</v>
      </c>
      <c r="F17" s="414">
        <v>0</v>
      </c>
      <c r="G17" s="414"/>
      <c r="H17" s="414"/>
      <c r="I17" s="414"/>
      <c r="J17" s="414"/>
      <c r="K17" s="415">
        <f t="shared" si="0"/>
        <v>2850</v>
      </c>
      <c r="L17" s="416">
        <v>0</v>
      </c>
      <c r="M17" s="410"/>
      <c r="N17" s="410"/>
      <c r="O17" s="410"/>
    </row>
    <row r="18" spans="1:15" ht="14.25">
      <c r="A18" s="413">
        <v>8</v>
      </c>
      <c r="B18" s="224" t="s">
        <v>838</v>
      </c>
      <c r="C18" s="414">
        <f>'enrolment vs availed_PY'!G18+'enrolment vs availed_UPY'!G18</f>
        <v>268415</v>
      </c>
      <c r="D18" s="414">
        <f>'AT-8_Hon_CCH_Pry'!C21</f>
        <v>4015</v>
      </c>
      <c r="E18" s="414">
        <f>'AT-8_Hon_CCH_Pry'!D21</f>
        <v>3717</v>
      </c>
      <c r="F18" s="414">
        <f>3818-3717</f>
        <v>101</v>
      </c>
      <c r="G18" s="414"/>
      <c r="H18" s="414"/>
      <c r="I18" s="414"/>
      <c r="J18" s="414"/>
      <c r="K18" s="415">
        <f t="shared" si="0"/>
        <v>3818</v>
      </c>
      <c r="L18" s="416">
        <v>0</v>
      </c>
      <c r="M18" s="410"/>
      <c r="N18" s="410"/>
      <c r="O18" s="410"/>
    </row>
    <row r="19" spans="1:15" ht="14.25">
      <c r="A19" s="413">
        <v>9</v>
      </c>
      <c r="B19" s="224" t="s">
        <v>839</v>
      </c>
      <c r="C19" s="414">
        <f>'enrolment vs availed_PY'!G19+'enrolment vs availed_UPY'!G19</f>
        <v>408368</v>
      </c>
      <c r="D19" s="414">
        <f>'AT-8_Hon_CCH_Pry'!C22</f>
        <v>5789</v>
      </c>
      <c r="E19" s="414">
        <f>'AT-8_Hon_CCH_Pry'!D22</f>
        <v>5569</v>
      </c>
      <c r="F19" s="414">
        <v>0</v>
      </c>
      <c r="G19" s="414"/>
      <c r="H19" s="414"/>
      <c r="I19" s="414"/>
      <c r="J19" s="414"/>
      <c r="K19" s="415">
        <f t="shared" si="0"/>
        <v>5569</v>
      </c>
      <c r="L19" s="416">
        <v>0</v>
      </c>
      <c r="M19" s="410"/>
      <c r="N19" s="410"/>
      <c r="O19" s="410"/>
    </row>
    <row r="20" spans="1:15" ht="14.25">
      <c r="A20" s="413">
        <v>10</v>
      </c>
      <c r="B20" s="224" t="s">
        <v>840</v>
      </c>
      <c r="C20" s="414">
        <f>'enrolment vs availed_PY'!G20+'enrolment vs availed_UPY'!G20</f>
        <v>143359</v>
      </c>
      <c r="D20" s="414">
        <f>'AT-8_Hon_CCH_Pry'!C23</f>
        <v>2723</v>
      </c>
      <c r="E20" s="414">
        <f>'AT-8_Hon_CCH_Pry'!D23</f>
        <v>2600</v>
      </c>
      <c r="F20" s="414">
        <v>0</v>
      </c>
      <c r="G20" s="414"/>
      <c r="H20" s="414"/>
      <c r="I20" s="414"/>
      <c r="J20" s="414"/>
      <c r="K20" s="415">
        <f t="shared" si="0"/>
        <v>2600</v>
      </c>
      <c r="L20" s="416">
        <v>0</v>
      </c>
      <c r="M20" s="410"/>
      <c r="N20" s="410"/>
      <c r="O20" s="410"/>
    </row>
    <row r="21" spans="1:15" ht="14.25">
      <c r="A21" s="413">
        <v>11</v>
      </c>
      <c r="B21" s="224" t="s">
        <v>841</v>
      </c>
      <c r="C21" s="414">
        <f>'enrolment vs availed_PY'!G21+'enrolment vs availed_UPY'!G21</f>
        <v>240720</v>
      </c>
      <c r="D21" s="414">
        <f>'AT-8_Hon_CCH_Pry'!C24</f>
        <v>3659</v>
      </c>
      <c r="E21" s="414">
        <f>'AT-8_Hon_CCH_Pry'!D24</f>
        <v>3429</v>
      </c>
      <c r="F21" s="414">
        <v>0</v>
      </c>
      <c r="G21" s="414"/>
      <c r="H21" s="414"/>
      <c r="I21" s="414"/>
      <c r="J21" s="414"/>
      <c r="K21" s="415">
        <f t="shared" si="0"/>
        <v>3429</v>
      </c>
      <c r="L21" s="416">
        <v>0</v>
      </c>
      <c r="M21" s="410"/>
      <c r="N21" s="410"/>
      <c r="O21" s="410"/>
    </row>
    <row r="22" spans="1:15" ht="14.25">
      <c r="A22" s="413">
        <v>12</v>
      </c>
      <c r="B22" s="224" t="s">
        <v>842</v>
      </c>
      <c r="C22" s="414">
        <f>'enrolment vs availed_PY'!G22+'enrolment vs availed_UPY'!G22</f>
        <v>204237</v>
      </c>
      <c r="D22" s="414">
        <f>'AT-8_Hon_CCH_Pry'!C25</f>
        <v>3694</v>
      </c>
      <c r="E22" s="414">
        <f>'AT-8_Hon_CCH_Pry'!D25</f>
        <v>3445</v>
      </c>
      <c r="F22" s="415">
        <f>3566-3445</f>
        <v>121</v>
      </c>
      <c r="G22" s="415"/>
      <c r="H22" s="415"/>
      <c r="I22" s="415"/>
      <c r="J22" s="415"/>
      <c r="K22" s="415">
        <f t="shared" si="0"/>
        <v>3566</v>
      </c>
      <c r="L22" s="416">
        <v>0</v>
      </c>
      <c r="M22" s="410"/>
      <c r="N22" s="410"/>
      <c r="O22" s="410"/>
    </row>
    <row r="23" spans="1:12" ht="14.25">
      <c r="A23" s="413">
        <v>13</v>
      </c>
      <c r="B23" s="224" t="s">
        <v>843</v>
      </c>
      <c r="C23" s="414">
        <f>'enrolment vs availed_PY'!G23+'enrolment vs availed_UPY'!G23</f>
        <v>87674</v>
      </c>
      <c r="D23" s="414">
        <f>'AT-8_Hon_CCH_Pry'!C26</f>
        <v>1815</v>
      </c>
      <c r="E23" s="414">
        <f>'AT-8_Hon_CCH_Pry'!D26</f>
        <v>1738</v>
      </c>
      <c r="F23" s="415">
        <v>0</v>
      </c>
      <c r="G23" s="415"/>
      <c r="H23" s="415"/>
      <c r="I23" s="415"/>
      <c r="J23" s="415"/>
      <c r="K23" s="415">
        <f t="shared" si="0"/>
        <v>1738</v>
      </c>
      <c r="L23" s="416">
        <v>0</v>
      </c>
    </row>
    <row r="24" spans="1:14" ht="14.25">
      <c r="A24" s="413">
        <v>14</v>
      </c>
      <c r="B24" s="224" t="s">
        <v>844</v>
      </c>
      <c r="C24" s="414">
        <f>'enrolment vs availed_PY'!G24+'enrolment vs availed_UPY'!G24</f>
        <v>102655</v>
      </c>
      <c r="D24" s="414">
        <f>'AT-8_Hon_CCH_Pry'!C27</f>
        <v>1721</v>
      </c>
      <c r="E24" s="414">
        <f>'AT-8_Hon_CCH_Pry'!D27</f>
        <v>1506</v>
      </c>
      <c r="F24" s="415">
        <v>10</v>
      </c>
      <c r="G24" s="415"/>
      <c r="H24" s="415"/>
      <c r="I24" s="415"/>
      <c r="J24" s="415"/>
      <c r="K24" s="415">
        <f t="shared" si="0"/>
        <v>1516</v>
      </c>
      <c r="L24" s="416">
        <v>0</v>
      </c>
      <c r="N24" s="408" t="s">
        <v>9</v>
      </c>
    </row>
    <row r="25" spans="1:12" ht="14.25">
      <c r="A25" s="413">
        <v>15</v>
      </c>
      <c r="B25" s="224" t="s">
        <v>845</v>
      </c>
      <c r="C25" s="414">
        <f>'enrolment vs availed_PY'!G25+'enrolment vs availed_UPY'!G25</f>
        <v>202202</v>
      </c>
      <c r="D25" s="414">
        <f>'AT-8_Hon_CCH_Pry'!C28</f>
        <v>4213</v>
      </c>
      <c r="E25" s="414">
        <f>'AT-8_Hon_CCH_Pry'!D28</f>
        <v>3918</v>
      </c>
      <c r="F25" s="415">
        <f>4340-3918</f>
        <v>422</v>
      </c>
      <c r="G25" s="415"/>
      <c r="H25" s="415"/>
      <c r="I25" s="415"/>
      <c r="J25" s="415"/>
      <c r="K25" s="415">
        <f t="shared" si="0"/>
        <v>4340</v>
      </c>
      <c r="L25" s="416">
        <v>0</v>
      </c>
    </row>
    <row r="26" spans="1:12" ht="14.25">
      <c r="A26" s="413">
        <v>16</v>
      </c>
      <c r="B26" s="224" t="s">
        <v>846</v>
      </c>
      <c r="C26" s="414">
        <f>'enrolment vs availed_PY'!G26+'enrolment vs availed_UPY'!G26</f>
        <v>408916</v>
      </c>
      <c r="D26" s="414">
        <f>'AT-8_Hon_CCH_Pry'!C29</f>
        <v>7059</v>
      </c>
      <c r="E26" s="414">
        <f>'AT-8_Hon_CCH_Pry'!D29</f>
        <v>6959</v>
      </c>
      <c r="F26" s="415">
        <v>36</v>
      </c>
      <c r="G26" s="415"/>
      <c r="H26" s="415"/>
      <c r="I26" s="415"/>
      <c r="J26" s="415"/>
      <c r="K26" s="415">
        <f t="shared" si="0"/>
        <v>6995</v>
      </c>
      <c r="L26" s="416">
        <v>0</v>
      </c>
    </row>
    <row r="27" spans="1:12" ht="14.25">
      <c r="A27" s="413">
        <v>17</v>
      </c>
      <c r="B27" s="224" t="s">
        <v>847</v>
      </c>
      <c r="C27" s="414">
        <f>'enrolment vs availed_PY'!G27+'enrolment vs availed_UPY'!G27</f>
        <v>235886</v>
      </c>
      <c r="D27" s="414">
        <f>'AT-8_Hon_CCH_Pry'!C30</f>
        <v>4015</v>
      </c>
      <c r="E27" s="414">
        <f>'AT-8_Hon_CCH_Pry'!D30</f>
        <v>3823</v>
      </c>
      <c r="F27" s="415">
        <v>170</v>
      </c>
      <c r="G27" s="415"/>
      <c r="H27" s="415"/>
      <c r="I27" s="415"/>
      <c r="J27" s="415"/>
      <c r="K27" s="415">
        <f t="shared" si="0"/>
        <v>3993</v>
      </c>
      <c r="L27" s="416">
        <v>0</v>
      </c>
    </row>
    <row r="28" spans="1:12" ht="14.25">
      <c r="A28" s="413">
        <v>18</v>
      </c>
      <c r="B28" s="224" t="s">
        <v>848</v>
      </c>
      <c r="C28" s="414">
        <f>'enrolment vs availed_PY'!G28+'enrolment vs availed_UPY'!G28</f>
        <v>188425</v>
      </c>
      <c r="D28" s="414">
        <f>'AT-8_Hon_CCH_Pry'!C31</f>
        <v>4002</v>
      </c>
      <c r="E28" s="414">
        <v>3862</v>
      </c>
      <c r="F28" s="415">
        <v>0</v>
      </c>
      <c r="G28" s="415"/>
      <c r="H28" s="415"/>
      <c r="I28" s="415"/>
      <c r="J28" s="415"/>
      <c r="K28" s="415">
        <f t="shared" si="0"/>
        <v>3862</v>
      </c>
      <c r="L28" s="416">
        <v>0</v>
      </c>
    </row>
    <row r="29" spans="1:12" ht="14.25">
      <c r="A29" s="413">
        <v>19</v>
      </c>
      <c r="B29" s="224" t="s">
        <v>849</v>
      </c>
      <c r="C29" s="414">
        <f>'enrolment vs availed_PY'!G29+'enrolment vs availed_UPY'!G29</f>
        <v>208911</v>
      </c>
      <c r="D29" s="414">
        <f>'AT-8_Hon_CCH_Pry'!C32</f>
        <v>4858</v>
      </c>
      <c r="E29" s="414">
        <f>'AT-8_Hon_CCH_Pry'!D32</f>
        <v>4640</v>
      </c>
      <c r="F29" s="415">
        <v>0</v>
      </c>
      <c r="G29" s="415"/>
      <c r="H29" s="415"/>
      <c r="I29" s="415"/>
      <c r="J29" s="415"/>
      <c r="K29" s="415">
        <f t="shared" si="0"/>
        <v>4640</v>
      </c>
      <c r="L29" s="416">
        <v>0</v>
      </c>
    </row>
    <row r="30" spans="1:12" ht="14.25">
      <c r="A30" s="413">
        <v>20</v>
      </c>
      <c r="B30" s="224" t="s">
        <v>850</v>
      </c>
      <c r="C30" s="414">
        <f>'enrolment vs availed_PY'!G30+'enrolment vs availed_UPY'!G30</f>
        <v>122715</v>
      </c>
      <c r="D30" s="414">
        <f>'AT-8_Hon_CCH_Pry'!C33</f>
        <v>2470</v>
      </c>
      <c r="E30" s="414">
        <f>'AT-8_Hon_CCH_Pry'!D33</f>
        <v>2237</v>
      </c>
      <c r="F30" s="415">
        <v>0</v>
      </c>
      <c r="G30" s="415"/>
      <c r="H30" s="415"/>
      <c r="I30" s="415"/>
      <c r="J30" s="415"/>
      <c r="K30" s="415">
        <f t="shared" si="0"/>
        <v>2237</v>
      </c>
      <c r="L30" s="416">
        <v>0</v>
      </c>
    </row>
    <row r="31" spans="1:12" ht="14.25">
      <c r="A31" s="413">
        <v>21</v>
      </c>
      <c r="B31" s="224" t="s">
        <v>851</v>
      </c>
      <c r="C31" s="414">
        <f>'enrolment vs availed_PY'!G31+'enrolment vs availed_UPY'!G31</f>
        <v>206727</v>
      </c>
      <c r="D31" s="414">
        <f>'AT-8_Hon_CCH_Pry'!C34</f>
        <v>3358</v>
      </c>
      <c r="E31" s="414">
        <f>'AT-8_Hon_CCH_Pry'!D34</f>
        <v>3185</v>
      </c>
      <c r="F31" s="415">
        <f>3322-3185</f>
        <v>137</v>
      </c>
      <c r="G31" s="415"/>
      <c r="H31" s="415"/>
      <c r="I31" s="415"/>
      <c r="J31" s="415"/>
      <c r="K31" s="415">
        <f t="shared" si="0"/>
        <v>3322</v>
      </c>
      <c r="L31" s="416">
        <v>0</v>
      </c>
    </row>
    <row r="32" spans="1:12" ht="14.25">
      <c r="A32" s="413">
        <v>22</v>
      </c>
      <c r="B32" s="224" t="s">
        <v>852</v>
      </c>
      <c r="C32" s="414">
        <f>'enrolment vs availed_PY'!G32+'enrolment vs availed_UPY'!G32</f>
        <v>144086</v>
      </c>
      <c r="D32" s="414">
        <f>'AT-8_Hon_CCH_Pry'!C35</f>
        <v>2297</v>
      </c>
      <c r="E32" s="414">
        <f>'AT-8_Hon_CCH_Pry'!D35</f>
        <v>2030</v>
      </c>
      <c r="F32" s="415">
        <v>0</v>
      </c>
      <c r="G32" s="415"/>
      <c r="H32" s="415"/>
      <c r="I32" s="415"/>
      <c r="J32" s="415"/>
      <c r="K32" s="415">
        <f t="shared" si="0"/>
        <v>2030</v>
      </c>
      <c r="L32" s="416">
        <v>0</v>
      </c>
    </row>
    <row r="33" spans="1:12" ht="14.25">
      <c r="A33" s="413">
        <v>23</v>
      </c>
      <c r="B33" s="224" t="s">
        <v>853</v>
      </c>
      <c r="C33" s="414">
        <f>'enrolment vs availed_PY'!G33+'enrolment vs availed_UPY'!G33</f>
        <v>221638</v>
      </c>
      <c r="D33" s="414">
        <f>'AT-8_Hon_CCH_Pry'!C36</f>
        <v>3475</v>
      </c>
      <c r="E33" s="414">
        <f>'AT-8_Hon_CCH_Pry'!D36</f>
        <v>3210</v>
      </c>
      <c r="F33" s="415">
        <v>0</v>
      </c>
      <c r="G33" s="415"/>
      <c r="H33" s="415"/>
      <c r="I33" s="415"/>
      <c r="J33" s="415"/>
      <c r="K33" s="415">
        <f t="shared" si="0"/>
        <v>3210</v>
      </c>
      <c r="L33" s="416">
        <v>0</v>
      </c>
    </row>
    <row r="34" spans="1:12" ht="14.25">
      <c r="A34" s="413">
        <v>24</v>
      </c>
      <c r="B34" s="224" t="s">
        <v>854</v>
      </c>
      <c r="C34" s="414">
        <f>'enrolment vs availed_PY'!G34+'enrolment vs availed_UPY'!G34</f>
        <v>262946</v>
      </c>
      <c r="D34" s="414">
        <f>'AT-8_Hon_CCH_Pry'!C37</f>
        <v>4480</v>
      </c>
      <c r="E34" s="414">
        <f>'AT-8_Hon_CCH_Pry'!D37</f>
        <v>4242</v>
      </c>
      <c r="F34" s="415">
        <v>0</v>
      </c>
      <c r="G34" s="415"/>
      <c r="H34" s="415"/>
      <c r="I34" s="415"/>
      <c r="J34" s="415"/>
      <c r="K34" s="415">
        <f t="shared" si="0"/>
        <v>4242</v>
      </c>
      <c r="L34" s="416">
        <v>0</v>
      </c>
    </row>
    <row r="35" spans="1:12" s="420" customFormat="1" ht="15">
      <c r="A35" s="978" t="s">
        <v>13</v>
      </c>
      <c r="B35" s="979"/>
      <c r="C35" s="417">
        <f>SUM(C11:C34)</f>
        <v>4673807</v>
      </c>
      <c r="D35" s="417">
        <f>SUM(D11:D34)</f>
        <v>85066</v>
      </c>
      <c r="E35" s="417">
        <f>SUM(E11:E34)</f>
        <v>80288</v>
      </c>
      <c r="F35" s="417">
        <f>SUM(F11:F34)</f>
        <v>1289</v>
      </c>
      <c r="G35" s="418"/>
      <c r="H35" s="418"/>
      <c r="I35" s="418"/>
      <c r="J35" s="418"/>
      <c r="K35" s="418">
        <f>SUM(K11:K34)</f>
        <v>81577</v>
      </c>
      <c r="L35" s="419">
        <v>0</v>
      </c>
    </row>
    <row r="36" spans="1:12" ht="17.25" customHeight="1">
      <c r="A36" s="980" t="s">
        <v>112</v>
      </c>
      <c r="B36" s="981"/>
      <c r="C36" s="981"/>
      <c r="D36" s="981"/>
      <c r="E36" s="981"/>
      <c r="F36" s="981"/>
      <c r="G36" s="981"/>
      <c r="H36" s="981"/>
      <c r="I36" s="981"/>
      <c r="J36" s="981"/>
      <c r="K36" s="982"/>
      <c r="L36" s="982"/>
    </row>
    <row r="38" spans="1:11" s="12" customFormat="1" ht="15.75" customHeight="1">
      <c r="A38" s="29"/>
      <c r="B38" s="29"/>
      <c r="C38" s="1"/>
      <c r="D38" s="11"/>
      <c r="E38" s="11"/>
      <c r="H38" s="67"/>
      <c r="I38" s="67"/>
      <c r="K38" s="67"/>
    </row>
    <row r="39" spans="10:19" s="12" customFormat="1" ht="12.75" customHeight="1">
      <c r="J39" s="68"/>
      <c r="K39" s="68"/>
      <c r="L39" s="68"/>
      <c r="M39" s="68"/>
      <c r="N39" s="68"/>
      <c r="O39" s="68"/>
      <c r="P39" s="68"/>
      <c r="Q39" s="68"/>
      <c r="R39" s="68"/>
      <c r="S39" s="68"/>
    </row>
    <row r="40" spans="10:19" s="12" customFormat="1" ht="12.75">
      <c r="J40" s="68"/>
      <c r="K40" s="68"/>
      <c r="L40" s="68"/>
      <c r="M40" s="68"/>
      <c r="N40" s="68"/>
      <c r="O40" s="68"/>
      <c r="P40" s="68"/>
      <c r="Q40" s="68"/>
      <c r="R40" s="68"/>
      <c r="S40" s="68"/>
    </row>
    <row r="41" spans="2:12" s="12" customFormat="1" ht="12.75">
      <c r="B41" s="11"/>
      <c r="C41" s="11"/>
      <c r="D41" s="11"/>
      <c r="E41" s="11"/>
      <c r="J41" s="29"/>
      <c r="K41" s="29"/>
      <c r="L41" s="29"/>
    </row>
    <row r="42" spans="1:11" ht="14.25">
      <c r="A42" s="559" t="s">
        <v>989</v>
      </c>
      <c r="B42" s="559"/>
      <c r="C42" s="559"/>
      <c r="D42" s="12"/>
      <c r="E42" s="12"/>
      <c r="F42" s="559" t="s">
        <v>990</v>
      </c>
      <c r="G42" s="559"/>
      <c r="H42" s="12"/>
      <c r="I42" s="559" t="s">
        <v>996</v>
      </c>
      <c r="J42" s="559"/>
      <c r="K42" s="559"/>
    </row>
    <row r="43" spans="1:11" ht="14.25">
      <c r="A43" s="559" t="s">
        <v>991</v>
      </c>
      <c r="B43" s="559"/>
      <c r="C43" s="559"/>
      <c r="D43" s="12"/>
      <c r="E43" s="12"/>
      <c r="F43" s="559" t="s">
        <v>992</v>
      </c>
      <c r="G43" s="559"/>
      <c r="H43" s="12"/>
      <c r="I43" s="559" t="s">
        <v>993</v>
      </c>
      <c r="J43" s="559" t="s">
        <v>993</v>
      </c>
      <c r="K43" s="559"/>
    </row>
    <row r="44" spans="1:11" ht="14.25">
      <c r="A44" s="559" t="s">
        <v>994</v>
      </c>
      <c r="B44" s="559"/>
      <c r="C44" s="559"/>
      <c r="D44" s="12"/>
      <c r="E44" s="12"/>
      <c r="F44" s="559" t="s">
        <v>995</v>
      </c>
      <c r="G44" s="559"/>
      <c r="H44" s="12"/>
      <c r="I44" s="559" t="s">
        <v>995</v>
      </c>
      <c r="J44" s="559" t="s">
        <v>995</v>
      </c>
      <c r="K44" s="559"/>
    </row>
  </sheetData>
  <sheetProtection/>
  <mergeCells count="28">
    <mergeCell ref="A7:A9"/>
    <mergeCell ref="B7:B9"/>
    <mergeCell ref="K7:K9"/>
    <mergeCell ref="E8:F8"/>
    <mergeCell ref="I8:J8"/>
    <mergeCell ref="C8:C9"/>
    <mergeCell ref="H8:H9"/>
    <mergeCell ref="G8:G9"/>
    <mergeCell ref="I43:K43"/>
    <mergeCell ref="C7:F7"/>
    <mergeCell ref="K1:L1"/>
    <mergeCell ref="G7:J7"/>
    <mergeCell ref="A6:B6"/>
    <mergeCell ref="L7:L9"/>
    <mergeCell ref="D8:D9"/>
    <mergeCell ref="A5:L5"/>
    <mergeCell ref="A35:B35"/>
    <mergeCell ref="A36:L36"/>
    <mergeCell ref="A3:L3"/>
    <mergeCell ref="A2:L2"/>
    <mergeCell ref="A44:C44"/>
    <mergeCell ref="F44:G44"/>
    <mergeCell ref="I44:K44"/>
    <mergeCell ref="A42:C42"/>
    <mergeCell ref="F42:G42"/>
    <mergeCell ref="I42:K42"/>
    <mergeCell ref="A43:C43"/>
    <mergeCell ref="F43:G4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66.xml><?xml version="1.0" encoding="utf-8"?>
<worksheet xmlns="http://schemas.openxmlformats.org/spreadsheetml/2006/main" xmlns:r="http://schemas.openxmlformats.org/officeDocument/2006/relationships">
  <sheetPr>
    <tabColor rgb="FF92D050"/>
    <pageSetUpPr fitToPage="1"/>
  </sheetPr>
  <dimension ref="A1:IF61"/>
  <sheetViews>
    <sheetView view="pageBreakPreview" zoomScale="70" zoomScaleNormal="90" zoomScaleSheetLayoutView="70" zoomScalePageLayoutView="0" workbookViewId="0" topLeftCell="A1">
      <selection activeCell="L23" sqref="L23:N23"/>
    </sheetView>
  </sheetViews>
  <sheetFormatPr defaultColWidth="9.140625" defaultRowHeight="12.75"/>
  <cols>
    <col min="1" max="1" width="4.7109375" style="398" customWidth="1"/>
    <col min="2" max="2" width="24.57421875" style="398" bestFit="1" customWidth="1"/>
    <col min="3" max="3" width="10.57421875" style="398" bestFit="1" customWidth="1"/>
    <col min="4" max="4" width="10.421875" style="398" customWidth="1"/>
    <col min="5" max="5" width="10.421875" style="398" bestFit="1" customWidth="1"/>
    <col min="6" max="8" width="10.7109375" style="398" customWidth="1"/>
    <col min="9" max="11" width="10.421875" style="398" bestFit="1" customWidth="1"/>
    <col min="12" max="14" width="10.8515625" style="398" customWidth="1"/>
    <col min="15" max="16384" width="9.140625" style="398" customWidth="1"/>
  </cols>
  <sheetData>
    <row r="1" ht="15">
      <c r="L1" s="299"/>
    </row>
    <row r="2" spans="1:14" ht="15.75">
      <c r="A2" s="992" t="s">
        <v>0</v>
      </c>
      <c r="B2" s="992"/>
      <c r="C2" s="992"/>
      <c r="D2" s="992"/>
      <c r="E2" s="992"/>
      <c r="F2" s="992"/>
      <c r="G2" s="992"/>
      <c r="H2" s="992"/>
      <c r="I2" s="992"/>
      <c r="J2" s="992"/>
      <c r="K2" s="992"/>
      <c r="L2" s="992"/>
      <c r="M2" s="992"/>
      <c r="N2" s="992"/>
    </row>
    <row r="3" spans="6:12" ht="15.75">
      <c r="F3" s="126"/>
      <c r="G3" s="126"/>
      <c r="H3" s="126"/>
      <c r="I3" s="127"/>
      <c r="J3" s="127"/>
      <c r="K3" s="127"/>
      <c r="L3" s="127"/>
    </row>
    <row r="4" spans="1:14" ht="18">
      <c r="A4" s="991" t="s">
        <v>645</v>
      </c>
      <c r="B4" s="991"/>
      <c r="C4" s="991"/>
      <c r="D4" s="991"/>
      <c r="E4" s="991"/>
      <c r="F4" s="991"/>
      <c r="G4" s="991"/>
      <c r="H4" s="991"/>
      <c r="I4" s="991"/>
      <c r="J4" s="991"/>
      <c r="K4" s="991"/>
      <c r="L4" s="991"/>
      <c r="M4" s="991"/>
      <c r="N4" s="991"/>
    </row>
    <row r="6" spans="1:21" ht="15.75">
      <c r="A6" s="990" t="s">
        <v>947</v>
      </c>
      <c r="B6" s="990"/>
      <c r="C6" s="990"/>
      <c r="D6" s="990"/>
      <c r="E6" s="990"/>
      <c r="F6" s="990"/>
      <c r="G6" s="990"/>
      <c r="H6" s="990"/>
      <c r="I6" s="990"/>
      <c r="J6" s="990"/>
      <c r="K6" s="990"/>
      <c r="L6" s="990"/>
      <c r="M6" s="990"/>
      <c r="N6" s="990"/>
      <c r="S6" s="399"/>
      <c r="T6" s="399"/>
      <c r="U6" s="399"/>
    </row>
    <row r="7" spans="19:21" ht="12.75">
      <c r="S7" s="399"/>
      <c r="T7" s="399"/>
      <c r="U7" s="399"/>
    </row>
    <row r="8" spans="1:21" ht="12.75">
      <c r="A8" s="993" t="s">
        <v>157</v>
      </c>
      <c r="B8" s="993"/>
      <c r="S8" s="399"/>
      <c r="T8" s="399"/>
      <c r="U8" s="399"/>
    </row>
    <row r="9" spans="1:21" ht="18">
      <c r="A9" s="128"/>
      <c r="B9" s="128"/>
      <c r="M9" s="999" t="s">
        <v>257</v>
      </c>
      <c r="N9" s="999"/>
      <c r="S9" s="399"/>
      <c r="T9" s="399"/>
      <c r="U9" s="399"/>
    </row>
    <row r="10" spans="1:240" ht="12.75" customHeight="1">
      <c r="A10" s="997" t="s">
        <v>1</v>
      </c>
      <c r="B10" s="997" t="s">
        <v>104</v>
      </c>
      <c r="C10" s="1003" t="s">
        <v>914</v>
      </c>
      <c r="D10" s="1003"/>
      <c r="E10" s="1003"/>
      <c r="F10" s="1003"/>
      <c r="G10" s="1003"/>
      <c r="H10" s="1003"/>
      <c r="I10" s="1003"/>
      <c r="J10" s="1003"/>
      <c r="K10" s="1003"/>
      <c r="L10" s="994" t="s">
        <v>137</v>
      </c>
      <c r="M10" s="994"/>
      <c r="N10" s="994"/>
      <c r="O10" s="130"/>
      <c r="P10" s="130"/>
      <c r="Q10" s="130"/>
      <c r="R10" s="130"/>
      <c r="S10" s="131"/>
      <c r="T10" s="131"/>
      <c r="U10" s="131"/>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row>
    <row r="11" spans="1:240" ht="12.75" customHeight="1">
      <c r="A11" s="998"/>
      <c r="B11" s="998"/>
      <c r="C11" s="994" t="s">
        <v>171</v>
      </c>
      <c r="D11" s="994"/>
      <c r="E11" s="994"/>
      <c r="F11" s="994" t="s">
        <v>172</v>
      </c>
      <c r="G11" s="994"/>
      <c r="H11" s="994"/>
      <c r="I11" s="994" t="s">
        <v>13</v>
      </c>
      <c r="J11" s="994"/>
      <c r="K11" s="994"/>
      <c r="L11" s="994"/>
      <c r="M11" s="994"/>
      <c r="N11" s="994"/>
      <c r="O11" s="130"/>
      <c r="P11" s="130"/>
      <c r="Q11" s="130"/>
      <c r="R11" s="130"/>
      <c r="S11" s="131"/>
      <c r="T11" s="131"/>
      <c r="U11" s="131"/>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row>
    <row r="12" spans="1:240" ht="12.75">
      <c r="A12" s="129"/>
      <c r="B12" s="129"/>
      <c r="C12" s="129" t="s">
        <v>258</v>
      </c>
      <c r="D12" s="129" t="s">
        <v>37</v>
      </c>
      <c r="E12" s="129" t="s">
        <v>38</v>
      </c>
      <c r="F12" s="129" t="s">
        <v>258</v>
      </c>
      <c r="G12" s="129" t="s">
        <v>37</v>
      </c>
      <c r="H12" s="129" t="s">
        <v>38</v>
      </c>
      <c r="I12" s="129" t="s">
        <v>258</v>
      </c>
      <c r="J12" s="129" t="s">
        <v>37</v>
      </c>
      <c r="K12" s="129" t="s">
        <v>38</v>
      </c>
      <c r="L12" s="129" t="s">
        <v>258</v>
      </c>
      <c r="M12" s="129" t="s">
        <v>37</v>
      </c>
      <c r="N12" s="129" t="s">
        <v>38</v>
      </c>
      <c r="O12" s="130"/>
      <c r="P12" s="130"/>
      <c r="Q12" s="130"/>
      <c r="R12" s="130"/>
      <c r="S12" s="131"/>
      <c r="T12" s="131"/>
      <c r="U12" s="131"/>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row>
    <row r="13" spans="1:240" ht="12.75">
      <c r="A13" s="129">
        <v>1</v>
      </c>
      <c r="B13" s="129">
        <v>2</v>
      </c>
      <c r="C13" s="129">
        <v>3</v>
      </c>
      <c r="D13" s="129">
        <v>4</v>
      </c>
      <c r="E13" s="129">
        <v>5</v>
      </c>
      <c r="F13" s="129">
        <v>6</v>
      </c>
      <c r="G13" s="129">
        <v>7</v>
      </c>
      <c r="H13" s="129">
        <v>8</v>
      </c>
      <c r="I13" s="129">
        <v>9</v>
      </c>
      <c r="J13" s="129">
        <v>10</v>
      </c>
      <c r="K13" s="129">
        <v>11</v>
      </c>
      <c r="L13" s="129">
        <v>12</v>
      </c>
      <c r="M13" s="129">
        <v>13</v>
      </c>
      <c r="N13" s="129">
        <v>14</v>
      </c>
      <c r="O13" s="132"/>
      <c r="P13" s="132"/>
      <c r="Q13" s="132"/>
      <c r="R13" s="132"/>
      <c r="S13" s="332"/>
      <c r="T13" s="332"/>
      <c r="U13" s="3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row>
    <row r="14" spans="1:240" ht="12.75" customHeight="1">
      <c r="A14" s="1000" t="s">
        <v>250</v>
      </c>
      <c r="B14" s="1001"/>
      <c r="C14" s="1001"/>
      <c r="D14" s="1001"/>
      <c r="E14" s="1001"/>
      <c r="F14" s="1001"/>
      <c r="G14" s="1001"/>
      <c r="H14" s="1001"/>
      <c r="I14" s="1001"/>
      <c r="J14" s="1001"/>
      <c r="K14" s="1001"/>
      <c r="L14" s="1001"/>
      <c r="M14" s="1001"/>
      <c r="N14" s="1002"/>
      <c r="O14" s="132"/>
      <c r="P14" s="132"/>
      <c r="Q14" s="132"/>
      <c r="R14" s="132"/>
      <c r="S14" s="332"/>
      <c r="T14" s="332"/>
      <c r="U14" s="3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row>
    <row r="15" spans="1:21" ht="12.75">
      <c r="A15" s="133">
        <v>1</v>
      </c>
      <c r="B15" s="134" t="s">
        <v>122</v>
      </c>
      <c r="C15" s="400">
        <v>1197.54</v>
      </c>
      <c r="D15" s="400">
        <v>508.9545</v>
      </c>
      <c r="E15" s="400">
        <v>1287.3555</v>
      </c>
      <c r="F15" s="401">
        <v>0</v>
      </c>
      <c r="G15" s="401">
        <v>0</v>
      </c>
      <c r="H15" s="401">
        <v>0</v>
      </c>
      <c r="I15" s="400">
        <f>C15+F15</f>
        <v>1197.54</v>
      </c>
      <c r="J15" s="400">
        <f>D15+G15</f>
        <v>508.9545</v>
      </c>
      <c r="K15" s="400">
        <f>E15+H15</f>
        <v>1287.3555</v>
      </c>
      <c r="L15" s="400">
        <f>I15</f>
        <v>1197.54</v>
      </c>
      <c r="M15" s="400">
        <f>J15</f>
        <v>508.9545</v>
      </c>
      <c r="N15" s="400">
        <f>K15</f>
        <v>1287.3555</v>
      </c>
      <c r="S15" s="399"/>
      <c r="T15" s="399"/>
      <c r="U15" s="399"/>
    </row>
    <row r="16" spans="1:14" ht="12.75">
      <c r="A16" s="133">
        <v>2</v>
      </c>
      <c r="B16" s="135" t="s">
        <v>485</v>
      </c>
      <c r="C16" s="400">
        <v>9889.236</v>
      </c>
      <c r="D16" s="400">
        <v>4202.9253</v>
      </c>
      <c r="E16" s="400">
        <v>10630.9287</v>
      </c>
      <c r="F16" s="400">
        <v>6581.200000000001</v>
      </c>
      <c r="G16" s="400">
        <v>2797.01</v>
      </c>
      <c r="H16" s="400">
        <v>7074.79</v>
      </c>
      <c r="I16" s="400">
        <f aca="true" t="shared" si="0" ref="I16:I23">C16+F16</f>
        <v>16470.436</v>
      </c>
      <c r="J16" s="400">
        <f aca="true" t="shared" si="1" ref="J16:J23">D16+G16</f>
        <v>6999.9353</v>
      </c>
      <c r="K16" s="400">
        <f aca="true" t="shared" si="2" ref="K16:K23">E16+H16</f>
        <v>17705.7187</v>
      </c>
      <c r="L16" s="400">
        <f aca="true" t="shared" si="3" ref="L16:L22">I16</f>
        <v>16470.436</v>
      </c>
      <c r="M16" s="400">
        <f aca="true" t="shared" si="4" ref="M16:M22">J16</f>
        <v>6999.9353</v>
      </c>
      <c r="N16" s="400">
        <f aca="true" t="shared" si="5" ref="N16:N22">K16</f>
        <v>17705.7187</v>
      </c>
    </row>
    <row r="17" spans="1:14" ht="25.5">
      <c r="A17" s="133">
        <v>3</v>
      </c>
      <c r="B17" s="135" t="s">
        <v>126</v>
      </c>
      <c r="C17" s="400">
        <v>1957.7040000000002</v>
      </c>
      <c r="D17" s="400">
        <v>832.0242000000001</v>
      </c>
      <c r="E17" s="400">
        <v>2104.5318</v>
      </c>
      <c r="F17" s="400">
        <v>2936.5560000000005</v>
      </c>
      <c r="G17" s="400">
        <v>1248.0363000000002</v>
      </c>
      <c r="H17" s="400">
        <v>3156.7977</v>
      </c>
      <c r="I17" s="400">
        <f t="shared" si="0"/>
        <v>4894.26</v>
      </c>
      <c r="J17" s="400">
        <f t="shared" si="1"/>
        <v>2080.0605000000005</v>
      </c>
      <c r="K17" s="400">
        <f t="shared" si="2"/>
        <v>5261.3295</v>
      </c>
      <c r="L17" s="400">
        <f t="shared" si="3"/>
        <v>4894.26</v>
      </c>
      <c r="M17" s="400">
        <f t="shared" si="4"/>
        <v>2080.0605000000005</v>
      </c>
      <c r="N17" s="400">
        <f t="shared" si="5"/>
        <v>5261.3295</v>
      </c>
    </row>
    <row r="18" spans="1:14" ht="12.75">
      <c r="A18" s="133">
        <v>4</v>
      </c>
      <c r="B18" s="135" t="s">
        <v>124</v>
      </c>
      <c r="C18" s="400">
        <v>299.384</v>
      </c>
      <c r="D18" s="400">
        <v>127.23820000000002</v>
      </c>
      <c r="E18" s="400">
        <v>321.8378</v>
      </c>
      <c r="F18" s="400">
        <v>0</v>
      </c>
      <c r="G18" s="400">
        <v>0</v>
      </c>
      <c r="H18" s="400">
        <v>0</v>
      </c>
      <c r="I18" s="400">
        <f t="shared" si="0"/>
        <v>299.384</v>
      </c>
      <c r="J18" s="400">
        <f t="shared" si="1"/>
        <v>127.23820000000002</v>
      </c>
      <c r="K18" s="400">
        <f t="shared" si="2"/>
        <v>321.8378</v>
      </c>
      <c r="L18" s="400">
        <f t="shared" si="3"/>
        <v>299.384</v>
      </c>
      <c r="M18" s="400">
        <f t="shared" si="4"/>
        <v>127.23820000000002</v>
      </c>
      <c r="N18" s="400">
        <f t="shared" si="5"/>
        <v>321.8378</v>
      </c>
    </row>
    <row r="19" spans="1:14" ht="12.75">
      <c r="A19" s="133">
        <v>5</v>
      </c>
      <c r="B19" s="134" t="s">
        <v>125</v>
      </c>
      <c r="C19" s="400">
        <v>240.18800000000002</v>
      </c>
      <c r="D19" s="400">
        <v>102.07990000000001</v>
      </c>
      <c r="E19" s="400">
        <v>258.20210000000003</v>
      </c>
      <c r="F19" s="400">
        <v>0</v>
      </c>
      <c r="G19" s="400">
        <v>0</v>
      </c>
      <c r="H19" s="400">
        <v>0</v>
      </c>
      <c r="I19" s="400">
        <f t="shared" si="0"/>
        <v>240.18800000000002</v>
      </c>
      <c r="J19" s="400">
        <f t="shared" si="1"/>
        <v>102.07990000000001</v>
      </c>
      <c r="K19" s="400">
        <f t="shared" si="2"/>
        <v>258.20210000000003</v>
      </c>
      <c r="L19" s="400">
        <f t="shared" si="3"/>
        <v>240.18800000000002</v>
      </c>
      <c r="M19" s="400">
        <f t="shared" si="4"/>
        <v>102.07990000000001</v>
      </c>
      <c r="N19" s="400">
        <f t="shared" si="5"/>
        <v>258.20210000000003</v>
      </c>
    </row>
    <row r="20" spans="1:14" ht="12.75" customHeight="1">
      <c r="A20" s="1000" t="s">
        <v>251</v>
      </c>
      <c r="B20" s="1001"/>
      <c r="C20" s="1001"/>
      <c r="D20" s="1001"/>
      <c r="E20" s="1001"/>
      <c r="F20" s="1001"/>
      <c r="G20" s="1001"/>
      <c r="H20" s="1001"/>
      <c r="I20" s="1001"/>
      <c r="J20" s="1001"/>
      <c r="K20" s="1001"/>
      <c r="L20" s="1001"/>
      <c r="M20" s="1001"/>
      <c r="N20" s="1002"/>
    </row>
    <row r="21" spans="1:14" ht="12.75">
      <c r="A21" s="133">
        <v>6</v>
      </c>
      <c r="B21" s="134" t="s">
        <v>127</v>
      </c>
      <c r="C21" s="400">
        <v>1162.516</v>
      </c>
      <c r="D21" s="400">
        <v>494.06930000000006</v>
      </c>
      <c r="E21" s="400">
        <v>1249.7047</v>
      </c>
      <c r="F21" s="400">
        <v>775.0120000000001</v>
      </c>
      <c r="G21" s="400">
        <v>329.3801</v>
      </c>
      <c r="H21" s="400">
        <v>833.1379</v>
      </c>
      <c r="I21" s="400">
        <f t="shared" si="0"/>
        <v>1937.5280000000002</v>
      </c>
      <c r="J21" s="400">
        <f t="shared" si="1"/>
        <v>823.4494000000001</v>
      </c>
      <c r="K21" s="400">
        <f t="shared" si="2"/>
        <v>2082.8426</v>
      </c>
      <c r="L21" s="400">
        <f t="shared" si="3"/>
        <v>1937.5280000000002</v>
      </c>
      <c r="M21" s="400">
        <f t="shared" si="4"/>
        <v>823.4494000000001</v>
      </c>
      <c r="N21" s="400">
        <f t="shared" si="5"/>
        <v>2082.8426</v>
      </c>
    </row>
    <row r="22" spans="1:14" ht="12.75">
      <c r="A22" s="133">
        <v>7</v>
      </c>
      <c r="B22" s="134" t="s">
        <v>128</v>
      </c>
      <c r="C22" s="400">
        <v>725.64</v>
      </c>
      <c r="D22" s="400">
        <v>308.397</v>
      </c>
      <c r="E22" s="400">
        <v>780.063</v>
      </c>
      <c r="F22" s="400">
        <v>0</v>
      </c>
      <c r="G22" s="400">
        <v>0</v>
      </c>
      <c r="H22" s="400">
        <v>0</v>
      </c>
      <c r="I22" s="400">
        <f t="shared" si="0"/>
        <v>725.64</v>
      </c>
      <c r="J22" s="400">
        <f t="shared" si="1"/>
        <v>308.397</v>
      </c>
      <c r="K22" s="400">
        <f t="shared" si="2"/>
        <v>780.063</v>
      </c>
      <c r="L22" s="400">
        <f t="shared" si="3"/>
        <v>725.64</v>
      </c>
      <c r="M22" s="400">
        <f t="shared" si="4"/>
        <v>308.397</v>
      </c>
      <c r="N22" s="400">
        <f t="shared" si="5"/>
        <v>780.063</v>
      </c>
    </row>
    <row r="23" spans="1:14" s="132" customFormat="1" ht="12.75">
      <c r="A23" s="995" t="s">
        <v>13</v>
      </c>
      <c r="B23" s="996"/>
      <c r="C23" s="309">
        <f aca="true" t="shared" si="6" ref="C23:H23">SUM(C15:C22)</f>
        <v>15472.208</v>
      </c>
      <c r="D23" s="309">
        <f t="shared" si="6"/>
        <v>6575.688399999999</v>
      </c>
      <c r="E23" s="309">
        <f t="shared" si="6"/>
        <v>16632.6236</v>
      </c>
      <c r="F23" s="309">
        <f t="shared" si="6"/>
        <v>10292.768000000002</v>
      </c>
      <c r="G23" s="309">
        <f t="shared" si="6"/>
        <v>4374.4264</v>
      </c>
      <c r="H23" s="309">
        <f t="shared" si="6"/>
        <v>11064.7256</v>
      </c>
      <c r="I23" s="309">
        <f t="shared" si="0"/>
        <v>25764.976000000002</v>
      </c>
      <c r="J23" s="309">
        <f t="shared" si="1"/>
        <v>10950.1148</v>
      </c>
      <c r="K23" s="309">
        <f t="shared" si="2"/>
        <v>27697.349199999997</v>
      </c>
      <c r="L23" s="309">
        <f>SUM(L15:L22)</f>
        <v>25764.976000000002</v>
      </c>
      <c r="M23" s="309">
        <f>SUM(M15:M22)</f>
        <v>10950.114800000001</v>
      </c>
      <c r="N23" s="309">
        <f>SUM(N15:N22)</f>
        <v>27697.3492</v>
      </c>
    </row>
    <row r="24" spans="1:2" ht="12.75">
      <c r="A24" s="402"/>
      <c r="B24" s="402"/>
    </row>
    <row r="28" spans="1:12" ht="12.75">
      <c r="A28" s="403"/>
      <c r="B28" s="403"/>
      <c r="C28" s="403"/>
      <c r="D28" s="403"/>
      <c r="E28" s="403"/>
      <c r="F28" s="403"/>
      <c r="G28" s="403"/>
      <c r="H28" s="403"/>
      <c r="I28" s="403"/>
      <c r="J28" s="404"/>
      <c r="K28" s="404"/>
      <c r="L28" s="404"/>
    </row>
    <row r="30" spans="1:14" ht="15.75" customHeight="1">
      <c r="A30" s="559" t="s">
        <v>989</v>
      </c>
      <c r="B30" s="559"/>
      <c r="C30" s="559"/>
      <c r="D30" s="12"/>
      <c r="E30" s="12"/>
      <c r="F30" s="559" t="s">
        <v>990</v>
      </c>
      <c r="G30" s="559"/>
      <c r="H30" s="12"/>
      <c r="L30" s="559" t="s">
        <v>996</v>
      </c>
      <c r="M30" s="559"/>
      <c r="N30" s="559"/>
    </row>
    <row r="31" spans="1:14" ht="12.75">
      <c r="A31" s="559" t="s">
        <v>991</v>
      </c>
      <c r="B31" s="559"/>
      <c r="C31" s="559"/>
      <c r="D31" s="12"/>
      <c r="E31" s="12"/>
      <c r="F31" s="559" t="s">
        <v>992</v>
      </c>
      <c r="G31" s="559"/>
      <c r="H31" s="12"/>
      <c r="L31" s="559" t="s">
        <v>993</v>
      </c>
      <c r="M31" s="559" t="s">
        <v>993</v>
      </c>
      <c r="N31" s="559"/>
    </row>
    <row r="32" spans="1:14" ht="12.75">
      <c r="A32" s="559" t="s">
        <v>994</v>
      </c>
      <c r="B32" s="559"/>
      <c r="C32" s="559"/>
      <c r="D32" s="12"/>
      <c r="E32" s="12"/>
      <c r="F32" s="559" t="s">
        <v>995</v>
      </c>
      <c r="G32" s="559"/>
      <c r="H32" s="12"/>
      <c r="L32" s="559" t="s">
        <v>995</v>
      </c>
      <c r="M32" s="559" t="s">
        <v>995</v>
      </c>
      <c r="N32" s="559"/>
    </row>
    <row r="36" spans="1:5" ht="12.75">
      <c r="A36" s="994" t="s">
        <v>1</v>
      </c>
      <c r="B36" s="994" t="s">
        <v>104</v>
      </c>
      <c r="C36" s="1006" t="s">
        <v>914</v>
      </c>
      <c r="D36" s="1007"/>
      <c r="E36" s="1008"/>
    </row>
    <row r="37" spans="1:13" ht="38.25">
      <c r="A37" s="994"/>
      <c r="B37" s="994"/>
      <c r="C37" s="129" t="s">
        <v>171</v>
      </c>
      <c r="D37" s="129" t="s">
        <v>172</v>
      </c>
      <c r="E37" s="129" t="s">
        <v>13</v>
      </c>
      <c r="K37" s="405">
        <v>43</v>
      </c>
      <c r="L37" s="405">
        <v>17</v>
      </c>
      <c r="M37" s="405">
        <v>40</v>
      </c>
    </row>
    <row r="38" spans="1:13" ht="15">
      <c r="A38" s="129">
        <v>1</v>
      </c>
      <c r="B38" s="129">
        <v>2</v>
      </c>
      <c r="C38" s="129">
        <v>3</v>
      </c>
      <c r="D38" s="129">
        <v>7</v>
      </c>
      <c r="E38" s="129">
        <v>8</v>
      </c>
      <c r="K38" s="406">
        <v>40</v>
      </c>
      <c r="L38" s="406">
        <v>17</v>
      </c>
      <c r="M38" s="406">
        <v>43</v>
      </c>
    </row>
    <row r="39" spans="1:13" ht="15">
      <c r="A39" s="1004" t="s">
        <v>250</v>
      </c>
      <c r="B39" s="1004"/>
      <c r="C39" s="129"/>
      <c r="D39" s="129"/>
      <c r="E39" s="129"/>
      <c r="K39" s="406" t="s">
        <v>987</v>
      </c>
      <c r="L39" s="406" t="s">
        <v>986</v>
      </c>
      <c r="M39" s="406" t="s">
        <v>985</v>
      </c>
    </row>
    <row r="40" spans="1:16" ht="15">
      <c r="A40" s="133">
        <v>1</v>
      </c>
      <c r="B40" s="134" t="s">
        <v>122</v>
      </c>
      <c r="C40" s="400">
        <v>1674.864</v>
      </c>
      <c r="D40" s="400">
        <v>0</v>
      </c>
      <c r="E40" s="400">
        <v>0</v>
      </c>
      <c r="G40" s="134" t="s">
        <v>122</v>
      </c>
      <c r="I40" s="398">
        <v>2993.85</v>
      </c>
      <c r="K40" s="398">
        <f aca="true" t="shared" si="7" ref="K40:K47">N40/100*I40</f>
        <v>1197.54</v>
      </c>
      <c r="L40" s="398">
        <f aca="true" t="shared" si="8" ref="L40:L47">O40/100*I40</f>
        <v>508.9545</v>
      </c>
      <c r="M40" s="398">
        <f aca="true" t="shared" si="9" ref="M40:M47">P40/100*I40</f>
        <v>1287.3555</v>
      </c>
      <c r="N40" s="406">
        <v>40</v>
      </c>
      <c r="O40" s="406">
        <v>17</v>
      </c>
      <c r="P40" s="406">
        <v>43</v>
      </c>
    </row>
    <row r="41" spans="1:16" ht="25.5">
      <c r="A41" s="133">
        <v>2</v>
      </c>
      <c r="B41" s="135" t="s">
        <v>485</v>
      </c>
      <c r="C41" s="400">
        <v>13830.960000000001</v>
      </c>
      <c r="D41" s="400">
        <v>9204.464</v>
      </c>
      <c r="E41" s="400">
        <v>3911.8972000000003</v>
      </c>
      <c r="G41" s="135" t="s">
        <v>485</v>
      </c>
      <c r="I41" s="398">
        <v>24723.09</v>
      </c>
      <c r="K41" s="398">
        <f t="shared" si="7"/>
        <v>9889.236</v>
      </c>
      <c r="L41" s="398">
        <f t="shared" si="8"/>
        <v>4202.9253</v>
      </c>
      <c r="M41" s="398">
        <f t="shared" si="9"/>
        <v>10630.9287</v>
      </c>
      <c r="N41" s="406">
        <v>40</v>
      </c>
      <c r="O41" s="406">
        <v>17</v>
      </c>
      <c r="P41" s="406">
        <v>43</v>
      </c>
    </row>
    <row r="42" spans="1:16" ht="51">
      <c r="A42" s="133">
        <v>3</v>
      </c>
      <c r="B42" s="135" t="s">
        <v>126</v>
      </c>
      <c r="C42" s="400">
        <v>1957.7040000000002</v>
      </c>
      <c r="D42" s="400">
        <v>2936.5560000000005</v>
      </c>
      <c r="E42" s="400">
        <v>1248.0363000000002</v>
      </c>
      <c r="G42" s="135" t="s">
        <v>126</v>
      </c>
      <c r="I42" s="398">
        <v>4894.26</v>
      </c>
      <c r="K42" s="398">
        <f t="shared" si="7"/>
        <v>1957.7040000000002</v>
      </c>
      <c r="L42" s="398">
        <f t="shared" si="8"/>
        <v>832.0242000000001</v>
      </c>
      <c r="M42" s="398">
        <f t="shared" si="9"/>
        <v>2104.5318</v>
      </c>
      <c r="N42" s="406">
        <v>40</v>
      </c>
      <c r="O42" s="406">
        <v>17</v>
      </c>
      <c r="P42" s="406">
        <v>43</v>
      </c>
    </row>
    <row r="43" spans="1:16" ht="51">
      <c r="A43" s="133">
        <v>4</v>
      </c>
      <c r="B43" s="135" t="s">
        <v>124</v>
      </c>
      <c r="C43" s="400">
        <v>418.716</v>
      </c>
      <c r="D43" s="400">
        <v>0</v>
      </c>
      <c r="E43" s="400">
        <v>0</v>
      </c>
      <c r="G43" s="135" t="s">
        <v>984</v>
      </c>
      <c r="I43" s="398">
        <v>748.46</v>
      </c>
      <c r="K43" s="398">
        <f t="shared" si="7"/>
        <v>299.384</v>
      </c>
      <c r="L43" s="398">
        <f t="shared" si="8"/>
        <v>127.23820000000002</v>
      </c>
      <c r="M43" s="398">
        <f t="shared" si="9"/>
        <v>321.8378</v>
      </c>
      <c r="N43" s="406">
        <v>40</v>
      </c>
      <c r="O43" s="406">
        <v>17</v>
      </c>
      <c r="P43" s="406">
        <v>43</v>
      </c>
    </row>
    <row r="44" spans="1:16" ht="15">
      <c r="A44" s="133">
        <v>5</v>
      </c>
      <c r="B44" s="134" t="s">
        <v>125</v>
      </c>
      <c r="C44" s="400">
        <v>321.88000000000005</v>
      </c>
      <c r="D44" s="400">
        <v>0</v>
      </c>
      <c r="E44" s="400">
        <v>0</v>
      </c>
      <c r="G44" s="134" t="s">
        <v>125</v>
      </c>
      <c r="I44" s="398">
        <v>600.47</v>
      </c>
      <c r="K44" s="398">
        <f t="shared" si="7"/>
        <v>240.18800000000002</v>
      </c>
      <c r="L44" s="398">
        <f t="shared" si="8"/>
        <v>102.07990000000001</v>
      </c>
      <c r="M44" s="398">
        <f t="shared" si="9"/>
        <v>258.20210000000003</v>
      </c>
      <c r="N44" s="406">
        <v>40</v>
      </c>
      <c r="O44" s="406">
        <v>17</v>
      </c>
      <c r="P44" s="406">
        <v>43</v>
      </c>
    </row>
    <row r="45" spans="1:16" ht="15">
      <c r="A45" s="1004" t="s">
        <v>251</v>
      </c>
      <c r="B45" s="1004"/>
      <c r="C45" s="400"/>
      <c r="D45" s="400"/>
      <c r="E45" s="400"/>
      <c r="I45" s="398">
        <f>SUM(I40:I44)</f>
        <v>33960.13</v>
      </c>
      <c r="K45" s="398">
        <f t="shared" si="7"/>
        <v>0</v>
      </c>
      <c r="L45" s="398">
        <f t="shared" si="8"/>
        <v>0</v>
      </c>
      <c r="M45" s="398">
        <f t="shared" si="9"/>
        <v>0</v>
      </c>
      <c r="N45" s="406"/>
      <c r="O45" s="406"/>
      <c r="P45" s="406"/>
    </row>
    <row r="46" spans="1:16" ht="15">
      <c r="A46" s="133">
        <v>6</v>
      </c>
      <c r="B46" s="134" t="s">
        <v>127</v>
      </c>
      <c r="C46" s="400">
        <v>1162.5168</v>
      </c>
      <c r="D46" s="400">
        <v>775.0112</v>
      </c>
      <c r="E46" s="400">
        <v>329.37976000000003</v>
      </c>
      <c r="G46" s="134" t="s">
        <v>127</v>
      </c>
      <c r="I46" s="398">
        <v>2906.29</v>
      </c>
      <c r="K46" s="407">
        <f t="shared" si="7"/>
        <v>1162.516</v>
      </c>
      <c r="L46" s="407">
        <f t="shared" si="8"/>
        <v>494.06930000000006</v>
      </c>
      <c r="M46" s="407">
        <f t="shared" si="9"/>
        <v>1249.7047</v>
      </c>
      <c r="N46" s="406">
        <v>40</v>
      </c>
      <c r="O46" s="406">
        <v>17</v>
      </c>
      <c r="P46" s="406">
        <v>43</v>
      </c>
    </row>
    <row r="47" spans="1:16" ht="15">
      <c r="A47" s="133">
        <v>7</v>
      </c>
      <c r="B47" s="134" t="s">
        <v>128</v>
      </c>
      <c r="C47" s="400">
        <v>613.4399999999999</v>
      </c>
      <c r="D47" s="400">
        <v>0</v>
      </c>
      <c r="E47" s="400">
        <v>0</v>
      </c>
      <c r="G47" s="134" t="s">
        <v>128</v>
      </c>
      <c r="I47" s="398">
        <v>1814.1</v>
      </c>
      <c r="K47" s="407">
        <f t="shared" si="7"/>
        <v>725.64</v>
      </c>
      <c r="L47" s="407">
        <f t="shared" si="8"/>
        <v>308.397</v>
      </c>
      <c r="M47" s="407">
        <f t="shared" si="9"/>
        <v>780.063</v>
      </c>
      <c r="N47" s="406">
        <v>40</v>
      </c>
      <c r="O47" s="406">
        <v>17</v>
      </c>
      <c r="P47" s="406">
        <v>43</v>
      </c>
    </row>
    <row r="48" spans="1:5" ht="12.75">
      <c r="A48" s="1005" t="s">
        <v>13</v>
      </c>
      <c r="B48" s="1005"/>
      <c r="C48" s="309">
        <f>SUM(C40:C47)</f>
        <v>19980.080800000003</v>
      </c>
      <c r="D48" s="309">
        <f>SUM(D40:D47)</f>
        <v>12916.031200000001</v>
      </c>
      <c r="E48" s="309">
        <f>SUM(E40:E47)</f>
        <v>5489.313260000001</v>
      </c>
    </row>
    <row r="51" spans="11:13" ht="15">
      <c r="K51" s="405">
        <v>43</v>
      </c>
      <c r="L51" s="405">
        <v>17</v>
      </c>
      <c r="M51" s="405">
        <v>40</v>
      </c>
    </row>
    <row r="52" spans="11:13" ht="15">
      <c r="K52" s="406">
        <v>40</v>
      </c>
      <c r="L52" s="406">
        <v>17</v>
      </c>
      <c r="M52" s="406">
        <v>43</v>
      </c>
    </row>
    <row r="53" spans="11:13" ht="15">
      <c r="K53" s="406" t="s">
        <v>987</v>
      </c>
      <c r="L53" s="406" t="s">
        <v>986</v>
      </c>
      <c r="M53" s="406" t="s">
        <v>985</v>
      </c>
    </row>
    <row r="54" spans="7:16" ht="15">
      <c r="G54" s="134" t="s">
        <v>122</v>
      </c>
      <c r="I54" s="398">
        <v>0</v>
      </c>
      <c r="K54" s="398">
        <f>N54/100*I54</f>
        <v>0</v>
      </c>
      <c r="L54" s="398">
        <f>O54/100*I54</f>
        <v>0</v>
      </c>
      <c r="M54" s="398">
        <f>P54/100*I54</f>
        <v>0</v>
      </c>
      <c r="N54" s="406">
        <v>40</v>
      </c>
      <c r="O54" s="406">
        <v>17</v>
      </c>
      <c r="P54" s="406">
        <v>43</v>
      </c>
    </row>
    <row r="55" spans="7:16" ht="25.5">
      <c r="G55" s="135" t="s">
        <v>485</v>
      </c>
      <c r="I55" s="398">
        <v>16453</v>
      </c>
      <c r="K55" s="407">
        <f aca="true" t="shared" si="10" ref="K55:K61">N55/100*I55</f>
        <v>6581.200000000001</v>
      </c>
      <c r="L55" s="407">
        <f aca="true" t="shared" si="11" ref="L55:L61">O55/100*I55</f>
        <v>2797.01</v>
      </c>
      <c r="M55" s="407">
        <f aca="true" t="shared" si="12" ref="M55:M61">P55/100*I55</f>
        <v>7074.79</v>
      </c>
      <c r="N55" s="406">
        <v>40</v>
      </c>
      <c r="O55" s="406">
        <v>17</v>
      </c>
      <c r="P55" s="406">
        <v>43</v>
      </c>
    </row>
    <row r="56" spans="7:16" ht="51">
      <c r="G56" s="135" t="s">
        <v>126</v>
      </c>
      <c r="I56" s="398">
        <v>7341.39</v>
      </c>
      <c r="K56" s="407">
        <f t="shared" si="10"/>
        <v>2936.5560000000005</v>
      </c>
      <c r="L56" s="407">
        <f t="shared" si="11"/>
        <v>1248.0363000000002</v>
      </c>
      <c r="M56" s="407">
        <f t="shared" si="12"/>
        <v>3156.7977</v>
      </c>
      <c r="N56" s="406">
        <v>40</v>
      </c>
      <c r="O56" s="406">
        <v>17</v>
      </c>
      <c r="P56" s="406">
        <v>43</v>
      </c>
    </row>
    <row r="57" spans="7:16" ht="51">
      <c r="G57" s="135" t="s">
        <v>984</v>
      </c>
      <c r="I57" s="398">
        <v>0</v>
      </c>
      <c r="K57" s="398">
        <f t="shared" si="10"/>
        <v>0</v>
      </c>
      <c r="L57" s="398">
        <f t="shared" si="11"/>
        <v>0</v>
      </c>
      <c r="M57" s="398">
        <f t="shared" si="12"/>
        <v>0</v>
      </c>
      <c r="N57" s="406">
        <v>40</v>
      </c>
      <c r="O57" s="406">
        <v>17</v>
      </c>
      <c r="P57" s="406">
        <v>43</v>
      </c>
    </row>
    <row r="58" spans="7:16" ht="15">
      <c r="G58" s="134" t="s">
        <v>125</v>
      </c>
      <c r="I58" s="398">
        <v>0</v>
      </c>
      <c r="K58" s="398">
        <f t="shared" si="10"/>
        <v>0</v>
      </c>
      <c r="L58" s="398">
        <f t="shared" si="11"/>
        <v>0</v>
      </c>
      <c r="M58" s="398">
        <f t="shared" si="12"/>
        <v>0</v>
      </c>
      <c r="N58" s="406">
        <v>40</v>
      </c>
      <c r="O58" s="406">
        <v>17</v>
      </c>
      <c r="P58" s="406">
        <v>43</v>
      </c>
    </row>
    <row r="59" spans="9:16" ht="15">
      <c r="I59" s="398">
        <f>SUM(I54:I58)</f>
        <v>23794.39</v>
      </c>
      <c r="K59" s="398">
        <f t="shared" si="10"/>
        <v>0</v>
      </c>
      <c r="L59" s="398">
        <f t="shared" si="11"/>
        <v>0</v>
      </c>
      <c r="M59" s="398">
        <f t="shared" si="12"/>
        <v>0</v>
      </c>
      <c r="N59" s="406"/>
      <c r="O59" s="406"/>
      <c r="P59" s="406"/>
    </row>
    <row r="60" spans="7:16" ht="15">
      <c r="G60" s="134" t="s">
        <v>127</v>
      </c>
      <c r="I60" s="398">
        <v>1937.53</v>
      </c>
      <c r="K60" s="407">
        <f t="shared" si="10"/>
        <v>775.0120000000001</v>
      </c>
      <c r="L60" s="407">
        <f t="shared" si="11"/>
        <v>329.3801</v>
      </c>
      <c r="M60" s="407">
        <f t="shared" si="12"/>
        <v>833.1379</v>
      </c>
      <c r="N60" s="406">
        <v>40</v>
      </c>
      <c r="O60" s="406">
        <v>17</v>
      </c>
      <c r="P60" s="406">
        <v>43</v>
      </c>
    </row>
    <row r="61" spans="7:16" ht="15">
      <c r="G61" s="134" t="s">
        <v>128</v>
      </c>
      <c r="I61" s="398">
        <v>0</v>
      </c>
      <c r="K61" s="407">
        <f t="shared" si="10"/>
        <v>0</v>
      </c>
      <c r="L61" s="407">
        <f t="shared" si="11"/>
        <v>0</v>
      </c>
      <c r="M61" s="407">
        <f t="shared" si="12"/>
        <v>0</v>
      </c>
      <c r="N61" s="406">
        <v>40</v>
      </c>
      <c r="O61" s="406">
        <v>17</v>
      </c>
      <c r="P61" s="406">
        <v>43</v>
      </c>
    </row>
  </sheetData>
  <sheetProtection/>
  <mergeCells count="30">
    <mergeCell ref="B10:B11"/>
    <mergeCell ref="C10:K10"/>
    <mergeCell ref="A39:B39"/>
    <mergeCell ref="A45:B45"/>
    <mergeCell ref="A48:B48"/>
    <mergeCell ref="C36:E36"/>
    <mergeCell ref="A36:A37"/>
    <mergeCell ref="B36:B37"/>
    <mergeCell ref="A32:C32"/>
    <mergeCell ref="F32:G32"/>
    <mergeCell ref="L32:N32"/>
    <mergeCell ref="A30:C30"/>
    <mergeCell ref="F30:G30"/>
    <mergeCell ref="M9:N9"/>
    <mergeCell ref="L10:N11"/>
    <mergeCell ref="L30:N30"/>
    <mergeCell ref="A31:C31"/>
    <mergeCell ref="C11:E11"/>
    <mergeCell ref="A20:N20"/>
    <mergeCell ref="A14:N14"/>
    <mergeCell ref="A6:N6"/>
    <mergeCell ref="A4:N4"/>
    <mergeCell ref="A2:N2"/>
    <mergeCell ref="F31:G31"/>
    <mergeCell ref="L31:N31"/>
    <mergeCell ref="A8:B8"/>
    <mergeCell ref="F11:H11"/>
    <mergeCell ref="I11:K11"/>
    <mergeCell ref="A23:B23"/>
    <mergeCell ref="A10:A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colBreaks count="1" manualBreakCount="1">
    <brk id="14" max="65535" man="1"/>
  </colBreaks>
</worksheet>
</file>

<file path=xl/worksheets/sheet67.xml><?xml version="1.0" encoding="utf-8"?>
<worksheet xmlns="http://schemas.openxmlformats.org/spreadsheetml/2006/main" xmlns:r="http://schemas.openxmlformats.org/officeDocument/2006/relationships">
  <sheetPr>
    <tabColor rgb="FF92D050"/>
    <pageSetUpPr fitToPage="1"/>
  </sheetPr>
  <dimension ref="A1:P49"/>
  <sheetViews>
    <sheetView view="pageBreakPreview" zoomScale="70" zoomScaleSheetLayoutView="70" zoomScalePageLayoutView="0" workbookViewId="0" topLeftCell="A1">
      <selection activeCell="T55" sqref="S55:T55"/>
    </sheetView>
  </sheetViews>
  <sheetFormatPr defaultColWidth="9.140625" defaultRowHeight="12.75"/>
  <cols>
    <col min="1" max="1" width="7.421875" style="121" customWidth="1"/>
    <col min="2" max="2" width="17.140625" style="121" customWidth="1"/>
    <col min="3" max="3" width="11.00390625" style="121" customWidth="1"/>
    <col min="4" max="4" width="10.00390625" style="121" customWidth="1"/>
    <col min="5" max="5" width="11.8515625" style="121" customWidth="1"/>
    <col min="6" max="6" width="12.140625" style="121" customWidth="1"/>
    <col min="7" max="7" width="13.28125" style="121" customWidth="1"/>
    <col min="8" max="8" width="14.57421875" style="121" customWidth="1"/>
    <col min="9" max="9" width="12.7109375" style="121" customWidth="1"/>
    <col min="10" max="10" width="14.00390625" style="121" customWidth="1"/>
    <col min="11" max="11" width="10.8515625" style="121" customWidth="1"/>
    <col min="12" max="12" width="10.7109375" style="121" customWidth="1"/>
    <col min="13" max="16384" width="9.140625" style="121" customWidth="1"/>
  </cols>
  <sheetData>
    <row r="1" spans="5:10" ht="12.75">
      <c r="E1" s="1009"/>
      <c r="F1" s="1009"/>
      <c r="G1" s="1009"/>
      <c r="H1" s="1009"/>
      <c r="I1" s="1009"/>
      <c r="J1" s="198" t="s">
        <v>762</v>
      </c>
    </row>
    <row r="2" spans="1:12" ht="15">
      <c r="A2" s="1022" t="s">
        <v>0</v>
      </c>
      <c r="B2" s="1022"/>
      <c r="C2" s="1022"/>
      <c r="D2" s="1022"/>
      <c r="E2" s="1022"/>
      <c r="F2" s="1022"/>
      <c r="G2" s="1022"/>
      <c r="H2" s="1022"/>
      <c r="I2" s="1022"/>
      <c r="J2" s="1022"/>
      <c r="K2" s="1022"/>
      <c r="L2" s="1022"/>
    </row>
    <row r="3" spans="1:12" ht="20.25">
      <c r="A3" s="657" t="s">
        <v>645</v>
      </c>
      <c r="B3" s="657"/>
      <c r="C3" s="657"/>
      <c r="D3" s="657"/>
      <c r="E3" s="657"/>
      <c r="F3" s="657"/>
      <c r="G3" s="657"/>
      <c r="H3" s="657"/>
      <c r="I3" s="657"/>
      <c r="J3" s="657"/>
      <c r="K3" s="657"/>
      <c r="L3" s="657"/>
    </row>
    <row r="4" ht="14.25" customHeight="1"/>
    <row r="5" spans="1:12" ht="19.5" customHeight="1">
      <c r="A5" s="1020" t="s">
        <v>763</v>
      </c>
      <c r="B5" s="1020"/>
      <c r="C5" s="1020"/>
      <c r="D5" s="1020"/>
      <c r="E5" s="1020"/>
      <c r="F5" s="1020"/>
      <c r="G5" s="1020"/>
      <c r="H5" s="1020"/>
      <c r="I5" s="1020"/>
      <c r="J5" s="1020"/>
      <c r="K5" s="1020"/>
      <c r="L5" s="1020"/>
    </row>
    <row r="6" spans="1:10" ht="13.5" customHeight="1">
      <c r="A6" s="199"/>
      <c r="B6" s="199"/>
      <c r="C6" s="199"/>
      <c r="D6" s="199"/>
      <c r="E6" s="199"/>
      <c r="F6" s="199"/>
      <c r="G6" s="199"/>
      <c r="H6" s="199"/>
      <c r="I6" s="199"/>
      <c r="J6" s="199"/>
    </row>
    <row r="8" spans="1:12" ht="12.75">
      <c r="A8" s="1010" t="s">
        <v>764</v>
      </c>
      <c r="B8" s="1010"/>
      <c r="C8" s="200"/>
      <c r="I8" s="389"/>
      <c r="J8" s="389"/>
      <c r="L8" s="390" t="s">
        <v>1002</v>
      </c>
    </row>
    <row r="9" spans="1:16" ht="12.75">
      <c r="A9" s="869" t="s">
        <v>1</v>
      </c>
      <c r="B9" s="869" t="s">
        <v>31</v>
      </c>
      <c r="C9" s="1021" t="s">
        <v>765</v>
      </c>
      <c r="D9" s="1021"/>
      <c r="E9" s="1021" t="s">
        <v>123</v>
      </c>
      <c r="F9" s="1021"/>
      <c r="G9" s="1021" t="s">
        <v>766</v>
      </c>
      <c r="H9" s="1021"/>
      <c r="I9" s="1021" t="s">
        <v>124</v>
      </c>
      <c r="J9" s="1021"/>
      <c r="K9" s="1021" t="s">
        <v>125</v>
      </c>
      <c r="L9" s="1021"/>
      <c r="O9" s="201"/>
      <c r="P9" s="202"/>
    </row>
    <row r="10" spans="1:12" ht="53.25" customHeight="1">
      <c r="A10" s="869"/>
      <c r="B10" s="869"/>
      <c r="C10" s="72" t="s">
        <v>767</v>
      </c>
      <c r="D10" s="72" t="s">
        <v>768</v>
      </c>
      <c r="E10" s="72" t="s">
        <v>769</v>
      </c>
      <c r="F10" s="72" t="s">
        <v>770</v>
      </c>
      <c r="G10" s="72" t="s">
        <v>769</v>
      </c>
      <c r="H10" s="72" t="s">
        <v>770</v>
      </c>
      <c r="I10" s="72" t="s">
        <v>767</v>
      </c>
      <c r="J10" s="72" t="s">
        <v>768</v>
      </c>
      <c r="K10" s="72" t="s">
        <v>767</v>
      </c>
      <c r="L10" s="72" t="s">
        <v>768</v>
      </c>
    </row>
    <row r="11" spans="1:12" ht="12.75">
      <c r="A11" s="72">
        <v>1</v>
      </c>
      <c r="B11" s="72">
        <v>2</v>
      </c>
      <c r="C11" s="72">
        <v>3</v>
      </c>
      <c r="D11" s="72">
        <v>4</v>
      </c>
      <c r="E11" s="72">
        <v>5</v>
      </c>
      <c r="F11" s="72">
        <v>6</v>
      </c>
      <c r="G11" s="72">
        <v>7</v>
      </c>
      <c r="H11" s="72">
        <v>8</v>
      </c>
      <c r="I11" s="72">
        <v>9</v>
      </c>
      <c r="J11" s="72">
        <v>10</v>
      </c>
      <c r="K11" s="72">
        <v>11</v>
      </c>
      <c r="L11" s="72">
        <v>12</v>
      </c>
    </row>
    <row r="12" spans="1:12" ht="12.75">
      <c r="A12" s="203">
        <v>1</v>
      </c>
      <c r="B12" s="224" t="s">
        <v>831</v>
      </c>
      <c r="C12" s="1011" t="s">
        <v>874</v>
      </c>
      <c r="D12" s="1012"/>
      <c r="E12" s="1012"/>
      <c r="F12" s="1012"/>
      <c r="G12" s="1012"/>
      <c r="H12" s="1012"/>
      <c r="I12" s="1012"/>
      <c r="J12" s="1012"/>
      <c r="K12" s="1012"/>
      <c r="L12" s="1013"/>
    </row>
    <row r="13" spans="1:12" ht="12.75">
      <c r="A13" s="203">
        <v>2</v>
      </c>
      <c r="B13" s="224" t="s">
        <v>832</v>
      </c>
      <c r="C13" s="1014"/>
      <c r="D13" s="1015"/>
      <c r="E13" s="1015"/>
      <c r="F13" s="1015"/>
      <c r="G13" s="1015"/>
      <c r="H13" s="1015"/>
      <c r="I13" s="1015"/>
      <c r="J13" s="1015"/>
      <c r="K13" s="1015"/>
      <c r="L13" s="1016"/>
    </row>
    <row r="14" spans="1:12" ht="12.75">
      <c r="A14" s="203">
        <v>3</v>
      </c>
      <c r="B14" s="224" t="s">
        <v>833</v>
      </c>
      <c r="C14" s="1014"/>
      <c r="D14" s="1015"/>
      <c r="E14" s="1015"/>
      <c r="F14" s="1015"/>
      <c r="G14" s="1015"/>
      <c r="H14" s="1015"/>
      <c r="I14" s="1015"/>
      <c r="J14" s="1015"/>
      <c r="K14" s="1015"/>
      <c r="L14" s="1016"/>
    </row>
    <row r="15" spans="1:12" ht="12.75">
      <c r="A15" s="203">
        <v>4</v>
      </c>
      <c r="B15" s="224" t="s">
        <v>834</v>
      </c>
      <c r="C15" s="1014"/>
      <c r="D15" s="1015"/>
      <c r="E15" s="1015"/>
      <c r="F15" s="1015"/>
      <c r="G15" s="1015"/>
      <c r="H15" s="1015"/>
      <c r="I15" s="1015"/>
      <c r="J15" s="1015"/>
      <c r="K15" s="1015"/>
      <c r="L15" s="1016"/>
    </row>
    <row r="16" spans="1:12" ht="12.75">
      <c r="A16" s="203">
        <v>5</v>
      </c>
      <c r="B16" s="224" t="s">
        <v>835</v>
      </c>
      <c r="C16" s="1014"/>
      <c r="D16" s="1015"/>
      <c r="E16" s="1015"/>
      <c r="F16" s="1015"/>
      <c r="G16" s="1015"/>
      <c r="H16" s="1015"/>
      <c r="I16" s="1015"/>
      <c r="J16" s="1015"/>
      <c r="K16" s="1015"/>
      <c r="L16" s="1016"/>
    </row>
    <row r="17" spans="1:12" ht="12.75">
      <c r="A17" s="203">
        <v>6</v>
      </c>
      <c r="B17" s="224" t="s">
        <v>836</v>
      </c>
      <c r="C17" s="1014"/>
      <c r="D17" s="1015"/>
      <c r="E17" s="1015"/>
      <c r="F17" s="1015"/>
      <c r="G17" s="1015"/>
      <c r="H17" s="1015"/>
      <c r="I17" s="1015"/>
      <c r="J17" s="1015"/>
      <c r="K17" s="1015"/>
      <c r="L17" s="1016"/>
    </row>
    <row r="18" spans="1:12" ht="12.75">
      <c r="A18" s="203">
        <v>7</v>
      </c>
      <c r="B18" s="224" t="s">
        <v>837</v>
      </c>
      <c r="C18" s="1014"/>
      <c r="D18" s="1015"/>
      <c r="E18" s="1015"/>
      <c r="F18" s="1015"/>
      <c r="G18" s="1015"/>
      <c r="H18" s="1015"/>
      <c r="I18" s="1015"/>
      <c r="J18" s="1015"/>
      <c r="K18" s="1015"/>
      <c r="L18" s="1016"/>
    </row>
    <row r="19" spans="1:12" ht="12.75">
      <c r="A19" s="203">
        <v>8</v>
      </c>
      <c r="B19" s="224" t="s">
        <v>838</v>
      </c>
      <c r="C19" s="1014"/>
      <c r="D19" s="1015"/>
      <c r="E19" s="1015"/>
      <c r="F19" s="1015"/>
      <c r="G19" s="1015"/>
      <c r="H19" s="1015"/>
      <c r="I19" s="1015"/>
      <c r="J19" s="1015"/>
      <c r="K19" s="1015"/>
      <c r="L19" s="1016"/>
    </row>
    <row r="20" spans="1:12" ht="12.75">
      <c r="A20" s="203">
        <v>9</v>
      </c>
      <c r="B20" s="224" t="s">
        <v>839</v>
      </c>
      <c r="C20" s="1014"/>
      <c r="D20" s="1015"/>
      <c r="E20" s="1015"/>
      <c r="F20" s="1015"/>
      <c r="G20" s="1015"/>
      <c r="H20" s="1015"/>
      <c r="I20" s="1015"/>
      <c r="J20" s="1015"/>
      <c r="K20" s="1015"/>
      <c r="L20" s="1016"/>
    </row>
    <row r="21" spans="1:12" ht="12.75">
      <c r="A21" s="203">
        <v>10</v>
      </c>
      <c r="B21" s="224" t="s">
        <v>840</v>
      </c>
      <c r="C21" s="1014"/>
      <c r="D21" s="1015"/>
      <c r="E21" s="1015"/>
      <c r="F21" s="1015"/>
      <c r="G21" s="1015"/>
      <c r="H21" s="1015"/>
      <c r="I21" s="1015"/>
      <c r="J21" s="1015"/>
      <c r="K21" s="1015"/>
      <c r="L21" s="1016"/>
    </row>
    <row r="22" spans="1:12" ht="12.75">
      <c r="A22" s="203">
        <v>11</v>
      </c>
      <c r="B22" s="224" t="s">
        <v>841</v>
      </c>
      <c r="C22" s="1014"/>
      <c r="D22" s="1015"/>
      <c r="E22" s="1015"/>
      <c r="F22" s="1015"/>
      <c r="G22" s="1015"/>
      <c r="H22" s="1015"/>
      <c r="I22" s="1015"/>
      <c r="J22" s="1015"/>
      <c r="K22" s="1015"/>
      <c r="L22" s="1016"/>
    </row>
    <row r="23" spans="1:12" ht="12.75">
      <c r="A23" s="203">
        <v>12</v>
      </c>
      <c r="B23" s="224" t="s">
        <v>842</v>
      </c>
      <c r="C23" s="1014"/>
      <c r="D23" s="1015"/>
      <c r="E23" s="1015"/>
      <c r="F23" s="1015"/>
      <c r="G23" s="1015"/>
      <c r="H23" s="1015"/>
      <c r="I23" s="1015"/>
      <c r="J23" s="1015"/>
      <c r="K23" s="1015"/>
      <c r="L23" s="1016"/>
    </row>
    <row r="24" spans="1:12" ht="12.75">
      <c r="A24" s="203">
        <v>13</v>
      </c>
      <c r="B24" s="224" t="s">
        <v>843</v>
      </c>
      <c r="C24" s="1014"/>
      <c r="D24" s="1015"/>
      <c r="E24" s="1015"/>
      <c r="F24" s="1015"/>
      <c r="G24" s="1015"/>
      <c r="H24" s="1015"/>
      <c r="I24" s="1015"/>
      <c r="J24" s="1015"/>
      <c r="K24" s="1015"/>
      <c r="L24" s="1016"/>
    </row>
    <row r="25" spans="1:12" ht="12.75">
      <c r="A25" s="203">
        <v>14</v>
      </c>
      <c r="B25" s="224" t="s">
        <v>844</v>
      </c>
      <c r="C25" s="1014"/>
      <c r="D25" s="1015"/>
      <c r="E25" s="1015"/>
      <c r="F25" s="1015"/>
      <c r="G25" s="1015"/>
      <c r="H25" s="1015"/>
      <c r="I25" s="1015"/>
      <c r="J25" s="1015"/>
      <c r="K25" s="1015"/>
      <c r="L25" s="1016"/>
    </row>
    <row r="26" spans="1:12" ht="12.75">
      <c r="A26" s="203">
        <v>15</v>
      </c>
      <c r="B26" s="224" t="s">
        <v>845</v>
      </c>
      <c r="C26" s="1014"/>
      <c r="D26" s="1015"/>
      <c r="E26" s="1015"/>
      <c r="F26" s="1015"/>
      <c r="G26" s="1015"/>
      <c r="H26" s="1015"/>
      <c r="I26" s="1015"/>
      <c r="J26" s="1015"/>
      <c r="K26" s="1015"/>
      <c r="L26" s="1016"/>
    </row>
    <row r="27" spans="1:12" ht="12.75">
      <c r="A27" s="203">
        <v>16</v>
      </c>
      <c r="B27" s="224" t="s">
        <v>846</v>
      </c>
      <c r="C27" s="1014"/>
      <c r="D27" s="1015"/>
      <c r="E27" s="1015"/>
      <c r="F27" s="1015"/>
      <c r="G27" s="1015"/>
      <c r="H27" s="1015"/>
      <c r="I27" s="1015"/>
      <c r="J27" s="1015"/>
      <c r="K27" s="1015"/>
      <c r="L27" s="1016"/>
    </row>
    <row r="28" spans="1:12" ht="12.75">
      <c r="A28" s="203">
        <v>17</v>
      </c>
      <c r="B28" s="224" t="s">
        <v>847</v>
      </c>
      <c r="C28" s="1014"/>
      <c r="D28" s="1015"/>
      <c r="E28" s="1015"/>
      <c r="F28" s="1015"/>
      <c r="G28" s="1015"/>
      <c r="H28" s="1015"/>
      <c r="I28" s="1015"/>
      <c r="J28" s="1015"/>
      <c r="K28" s="1015"/>
      <c r="L28" s="1016"/>
    </row>
    <row r="29" spans="1:12" ht="12.75">
      <c r="A29" s="203">
        <v>18</v>
      </c>
      <c r="B29" s="224" t="s">
        <v>848</v>
      </c>
      <c r="C29" s="1014"/>
      <c r="D29" s="1015"/>
      <c r="E29" s="1015"/>
      <c r="F29" s="1015"/>
      <c r="G29" s="1015"/>
      <c r="H29" s="1015"/>
      <c r="I29" s="1015"/>
      <c r="J29" s="1015"/>
      <c r="K29" s="1015"/>
      <c r="L29" s="1016"/>
    </row>
    <row r="30" spans="1:12" ht="12.75">
      <c r="A30" s="203">
        <v>19</v>
      </c>
      <c r="B30" s="224" t="s">
        <v>849</v>
      </c>
      <c r="C30" s="1014"/>
      <c r="D30" s="1015"/>
      <c r="E30" s="1015"/>
      <c r="F30" s="1015"/>
      <c r="G30" s="1015"/>
      <c r="H30" s="1015"/>
      <c r="I30" s="1015"/>
      <c r="J30" s="1015"/>
      <c r="K30" s="1015"/>
      <c r="L30" s="1016"/>
    </row>
    <row r="31" spans="1:12" ht="12.75">
      <c r="A31" s="203">
        <v>20</v>
      </c>
      <c r="B31" s="224" t="s">
        <v>850</v>
      </c>
      <c r="C31" s="1014"/>
      <c r="D31" s="1015"/>
      <c r="E31" s="1015"/>
      <c r="F31" s="1015"/>
      <c r="G31" s="1015"/>
      <c r="H31" s="1015"/>
      <c r="I31" s="1015"/>
      <c r="J31" s="1015"/>
      <c r="K31" s="1015"/>
      <c r="L31" s="1016"/>
    </row>
    <row r="32" spans="1:12" ht="12.75">
      <c r="A32" s="203">
        <v>21</v>
      </c>
      <c r="B32" s="224" t="s">
        <v>851</v>
      </c>
      <c r="C32" s="1014"/>
      <c r="D32" s="1015"/>
      <c r="E32" s="1015"/>
      <c r="F32" s="1015"/>
      <c r="G32" s="1015"/>
      <c r="H32" s="1015"/>
      <c r="I32" s="1015"/>
      <c r="J32" s="1015"/>
      <c r="K32" s="1015"/>
      <c r="L32" s="1016"/>
    </row>
    <row r="33" spans="1:12" ht="12.75">
      <c r="A33" s="203">
        <v>22</v>
      </c>
      <c r="B33" s="224" t="s">
        <v>852</v>
      </c>
      <c r="C33" s="1014"/>
      <c r="D33" s="1015"/>
      <c r="E33" s="1015"/>
      <c r="F33" s="1015"/>
      <c r="G33" s="1015"/>
      <c r="H33" s="1015"/>
      <c r="I33" s="1015"/>
      <c r="J33" s="1015"/>
      <c r="K33" s="1015"/>
      <c r="L33" s="1016"/>
    </row>
    <row r="34" spans="1:12" ht="12.75">
      <c r="A34" s="203">
        <v>23</v>
      </c>
      <c r="B34" s="224" t="s">
        <v>853</v>
      </c>
      <c r="C34" s="1014"/>
      <c r="D34" s="1015"/>
      <c r="E34" s="1015"/>
      <c r="F34" s="1015"/>
      <c r="G34" s="1015"/>
      <c r="H34" s="1015"/>
      <c r="I34" s="1015"/>
      <c r="J34" s="1015"/>
      <c r="K34" s="1015"/>
      <c r="L34" s="1016"/>
    </row>
    <row r="35" spans="1:12" ht="12.75">
      <c r="A35" s="203">
        <v>24</v>
      </c>
      <c r="B35" s="224" t="s">
        <v>854</v>
      </c>
      <c r="C35" s="1014"/>
      <c r="D35" s="1015"/>
      <c r="E35" s="1015"/>
      <c r="F35" s="1015"/>
      <c r="G35" s="1015"/>
      <c r="H35" s="1015"/>
      <c r="I35" s="1015"/>
      <c r="J35" s="1015"/>
      <c r="K35" s="1015"/>
      <c r="L35" s="1016"/>
    </row>
    <row r="36" spans="1:12" ht="12.75">
      <c r="A36" s="871" t="s">
        <v>13</v>
      </c>
      <c r="B36" s="872"/>
      <c r="C36" s="1017"/>
      <c r="D36" s="1018"/>
      <c r="E36" s="1018"/>
      <c r="F36" s="1018"/>
      <c r="G36" s="1018"/>
      <c r="H36" s="1018"/>
      <c r="I36" s="1018"/>
      <c r="J36" s="1018"/>
      <c r="K36" s="1018"/>
      <c r="L36" s="1019"/>
    </row>
    <row r="37" spans="1:10" ht="12.75">
      <c r="A37" s="75"/>
      <c r="B37" s="91"/>
      <c r="C37" s="91"/>
      <c r="D37" s="202"/>
      <c r="E37" s="202"/>
      <c r="F37" s="202"/>
      <c r="G37" s="202"/>
      <c r="H37" s="202"/>
      <c r="I37" s="202"/>
      <c r="J37" s="202"/>
    </row>
    <row r="38" spans="1:10" ht="12.75">
      <c r="A38" s="75"/>
      <c r="B38" s="91"/>
      <c r="C38" s="91"/>
      <c r="D38" s="202"/>
      <c r="E38" s="202"/>
      <c r="F38" s="202"/>
      <c r="G38" s="202"/>
      <c r="H38" s="202"/>
      <c r="I38" s="202"/>
      <c r="J38" s="202"/>
    </row>
    <row r="39" spans="1:10" ht="12.75">
      <c r="A39" s="75"/>
      <c r="B39" s="91"/>
      <c r="C39" s="91"/>
      <c r="D39" s="202"/>
      <c r="E39" s="202"/>
      <c r="F39" s="202"/>
      <c r="G39" s="202"/>
      <c r="H39" s="202"/>
      <c r="I39" s="202"/>
      <c r="J39" s="202"/>
    </row>
    <row r="40" spans="1:10" ht="15.75" customHeight="1">
      <c r="A40" s="77"/>
      <c r="B40" s="77"/>
      <c r="C40" s="77"/>
      <c r="D40" s="77"/>
      <c r="E40" s="77"/>
      <c r="F40" s="77"/>
      <c r="G40" s="77"/>
      <c r="I40" s="357"/>
      <c r="J40" s="357"/>
    </row>
    <row r="41" spans="1:11" ht="12.75" customHeight="1">
      <c r="A41" s="559" t="s">
        <v>989</v>
      </c>
      <c r="B41" s="559"/>
      <c r="C41" s="559"/>
      <c r="D41" s="12"/>
      <c r="E41" s="12"/>
      <c r="F41" s="559" t="s">
        <v>990</v>
      </c>
      <c r="G41" s="559"/>
      <c r="H41" s="12"/>
      <c r="I41" s="559" t="s">
        <v>996</v>
      </c>
      <c r="J41" s="559"/>
      <c r="K41" s="559"/>
    </row>
    <row r="42" spans="1:11" ht="12.75" customHeight="1">
      <c r="A42" s="559" t="s">
        <v>991</v>
      </c>
      <c r="B42" s="559"/>
      <c r="C42" s="559"/>
      <c r="D42" s="12"/>
      <c r="E42" s="12"/>
      <c r="F42" s="559" t="s">
        <v>992</v>
      </c>
      <c r="G42" s="559"/>
      <c r="H42" s="12"/>
      <c r="I42" s="559" t="s">
        <v>993</v>
      </c>
      <c r="J42" s="559" t="s">
        <v>993</v>
      </c>
      <c r="K42" s="559"/>
    </row>
    <row r="43" spans="1:11" ht="12.75">
      <c r="A43" s="559" t="s">
        <v>994</v>
      </c>
      <c r="B43" s="559"/>
      <c r="C43" s="559"/>
      <c r="D43" s="12"/>
      <c r="E43" s="12"/>
      <c r="F43" s="559" t="s">
        <v>995</v>
      </c>
      <c r="G43" s="559"/>
      <c r="H43" s="12"/>
      <c r="I43" s="559" t="s">
        <v>995</v>
      </c>
      <c r="J43" s="559" t="s">
        <v>995</v>
      </c>
      <c r="K43" s="559"/>
    </row>
    <row r="47" spans="1:10" ht="12.75">
      <c r="A47" s="1023"/>
      <c r="B47" s="1023"/>
      <c r="C47" s="1023"/>
      <c r="D47" s="1023"/>
      <c r="E47" s="1023"/>
      <c r="F47" s="1023"/>
      <c r="G47" s="1023"/>
      <c r="H47" s="1023"/>
      <c r="I47" s="1023"/>
      <c r="J47" s="1023"/>
    </row>
    <row r="49" spans="1:10" ht="12.75">
      <c r="A49" s="1023"/>
      <c r="B49" s="1023"/>
      <c r="C49" s="1023"/>
      <c r="D49" s="1023"/>
      <c r="E49" s="1023"/>
      <c r="F49" s="1023"/>
      <c r="G49" s="1023"/>
      <c r="H49" s="1023"/>
      <c r="I49" s="1023"/>
      <c r="J49" s="1023"/>
    </row>
  </sheetData>
  <sheetProtection/>
  <mergeCells count="25">
    <mergeCell ref="A49:J49"/>
    <mergeCell ref="A9:A10"/>
    <mergeCell ref="B9:B10"/>
    <mergeCell ref="C9:D9"/>
    <mergeCell ref="I9:J9"/>
    <mergeCell ref="A47:J47"/>
    <mergeCell ref="A43:C43"/>
    <mergeCell ref="F43:G43"/>
    <mergeCell ref="I43:K43"/>
    <mergeCell ref="A41:C41"/>
    <mergeCell ref="E1:I1"/>
    <mergeCell ref="A8:B8"/>
    <mergeCell ref="C12:L36"/>
    <mergeCell ref="A5:L5"/>
    <mergeCell ref="E9:F9"/>
    <mergeCell ref="G9:H9"/>
    <mergeCell ref="K9:L9"/>
    <mergeCell ref="A3:L3"/>
    <mergeCell ref="A2:L2"/>
    <mergeCell ref="F41:G41"/>
    <mergeCell ref="I41:K41"/>
    <mergeCell ref="A42:C42"/>
    <mergeCell ref="F42:G42"/>
    <mergeCell ref="I42:K42"/>
    <mergeCell ref="A36:B3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1" r:id="rId1"/>
</worksheet>
</file>

<file path=xl/worksheets/sheet68.xml><?xml version="1.0" encoding="utf-8"?>
<worksheet xmlns="http://schemas.openxmlformats.org/spreadsheetml/2006/main" xmlns:r="http://schemas.openxmlformats.org/officeDocument/2006/relationships">
  <sheetPr>
    <tabColor rgb="FF92D050"/>
    <pageSetUpPr fitToPage="1"/>
  </sheetPr>
  <dimension ref="A1:P49"/>
  <sheetViews>
    <sheetView view="pageBreakPreview" zoomScale="70" zoomScaleSheetLayoutView="70" zoomScalePageLayoutView="0" workbookViewId="0" topLeftCell="A1">
      <selection activeCell="R56" sqref="R56"/>
    </sheetView>
  </sheetViews>
  <sheetFormatPr defaultColWidth="9.140625" defaultRowHeight="12.75"/>
  <cols>
    <col min="1" max="1" width="7.421875" style="121" customWidth="1"/>
    <col min="2" max="2" width="17.140625" style="121" customWidth="1"/>
    <col min="3" max="3" width="11.00390625" style="121" customWidth="1"/>
    <col min="4" max="4" width="10.00390625" style="121" customWidth="1"/>
    <col min="5" max="5" width="11.8515625" style="121" customWidth="1"/>
    <col min="6" max="6" width="12.140625" style="121" customWidth="1"/>
    <col min="7" max="7" width="17.7109375" style="121" bestFit="1" customWidth="1"/>
    <col min="8" max="8" width="14.57421875" style="121" customWidth="1"/>
    <col min="9" max="9" width="12.57421875" style="121" customWidth="1"/>
    <col min="10" max="10" width="18.8515625" style="121" bestFit="1" customWidth="1"/>
    <col min="11" max="11" width="10.8515625" style="121" customWidth="1"/>
    <col min="12" max="12" width="10.7109375" style="121" customWidth="1"/>
    <col min="13" max="16384" width="9.140625" style="121" customWidth="1"/>
  </cols>
  <sheetData>
    <row r="1" spans="5:12" ht="12.75">
      <c r="E1" s="1009"/>
      <c r="F1" s="1009"/>
      <c r="G1" s="1009"/>
      <c r="H1" s="1009"/>
      <c r="I1" s="1009"/>
      <c r="L1" s="391" t="s">
        <v>771</v>
      </c>
    </row>
    <row r="2" spans="1:12" ht="15">
      <c r="A2" s="1022" t="s">
        <v>0</v>
      </c>
      <c r="B2" s="1022"/>
      <c r="C2" s="1022"/>
      <c r="D2" s="1022"/>
      <c r="E2" s="1022"/>
      <c r="F2" s="1022"/>
      <c r="G2" s="1022"/>
      <c r="H2" s="1022"/>
      <c r="I2" s="1022"/>
      <c r="J2" s="1022"/>
      <c r="K2" s="1022"/>
      <c r="L2" s="1022"/>
    </row>
    <row r="3" spans="1:12" ht="20.25">
      <c r="A3" s="657" t="s">
        <v>645</v>
      </c>
      <c r="B3" s="657"/>
      <c r="C3" s="657"/>
      <c r="D3" s="657"/>
      <c r="E3" s="657"/>
      <c r="F3" s="657"/>
      <c r="G3" s="657"/>
      <c r="H3" s="657"/>
      <c r="I3" s="657"/>
      <c r="J3" s="657"/>
      <c r="K3" s="657"/>
      <c r="L3" s="657"/>
    </row>
    <row r="4" ht="14.25" customHeight="1"/>
    <row r="5" spans="1:12" ht="16.5" customHeight="1">
      <c r="A5" s="1020" t="s">
        <v>772</v>
      </c>
      <c r="B5" s="1020"/>
      <c r="C5" s="1020"/>
      <c r="D5" s="1020"/>
      <c r="E5" s="1020"/>
      <c r="F5" s="1020"/>
      <c r="G5" s="1020"/>
      <c r="H5" s="1020"/>
      <c r="I5" s="1020"/>
      <c r="J5" s="1020"/>
      <c r="K5" s="1020"/>
      <c r="L5" s="1020"/>
    </row>
    <row r="6" spans="1:10" ht="13.5" customHeight="1">
      <c r="A6" s="199"/>
      <c r="B6" s="199"/>
      <c r="C6" s="199"/>
      <c r="D6" s="199"/>
      <c r="E6" s="199"/>
      <c r="F6" s="199"/>
      <c r="G6" s="199"/>
      <c r="H6" s="199"/>
      <c r="I6" s="199"/>
      <c r="J6" s="199"/>
    </row>
    <row r="8" spans="1:10" ht="12.75">
      <c r="A8" s="1010" t="s">
        <v>764</v>
      </c>
      <c r="B8" s="1010"/>
      <c r="C8" s="200"/>
      <c r="H8" s="1024" t="s">
        <v>656</v>
      </c>
      <c r="I8" s="1024"/>
      <c r="J8" s="1024"/>
    </row>
    <row r="9" spans="1:16" ht="12.75">
      <c r="A9" s="869" t="s">
        <v>1</v>
      </c>
      <c r="B9" s="869" t="s">
        <v>31</v>
      </c>
      <c r="C9" s="1021" t="s">
        <v>765</v>
      </c>
      <c r="D9" s="1021"/>
      <c r="E9" s="1021" t="s">
        <v>123</v>
      </c>
      <c r="F9" s="1021"/>
      <c r="G9" s="1021" t="s">
        <v>766</v>
      </c>
      <c r="H9" s="1021"/>
      <c r="I9" s="1021" t="s">
        <v>124</v>
      </c>
      <c r="J9" s="1021"/>
      <c r="K9" s="1021" t="s">
        <v>125</v>
      </c>
      <c r="L9" s="1021"/>
      <c r="O9" s="201"/>
      <c r="P9" s="202"/>
    </row>
    <row r="10" spans="1:12" ht="53.25" customHeight="1">
      <c r="A10" s="869"/>
      <c r="B10" s="869"/>
      <c r="C10" s="72" t="s">
        <v>767</v>
      </c>
      <c r="D10" s="72" t="s">
        <v>768</v>
      </c>
      <c r="E10" s="72" t="s">
        <v>769</v>
      </c>
      <c r="F10" s="72" t="s">
        <v>770</v>
      </c>
      <c r="G10" s="72" t="s">
        <v>769</v>
      </c>
      <c r="H10" s="72" t="s">
        <v>770</v>
      </c>
      <c r="I10" s="72" t="s">
        <v>767</v>
      </c>
      <c r="J10" s="72" t="s">
        <v>768</v>
      </c>
      <c r="K10" s="72" t="s">
        <v>767</v>
      </c>
      <c r="L10" s="72" t="s">
        <v>768</v>
      </c>
    </row>
    <row r="11" spans="1:12" ht="12.75">
      <c r="A11" s="72">
        <v>1</v>
      </c>
      <c r="B11" s="72">
        <v>2</v>
      </c>
      <c r="C11" s="72">
        <v>3</v>
      </c>
      <c r="D11" s="72">
        <v>4</v>
      </c>
      <c r="E11" s="72">
        <v>5</v>
      </c>
      <c r="F11" s="72">
        <v>6</v>
      </c>
      <c r="G11" s="72">
        <v>7</v>
      </c>
      <c r="H11" s="72">
        <v>8</v>
      </c>
      <c r="I11" s="72">
        <v>9</v>
      </c>
      <c r="J11" s="72">
        <v>10</v>
      </c>
      <c r="K11" s="72">
        <v>11</v>
      </c>
      <c r="L11" s="72">
        <v>12</v>
      </c>
    </row>
    <row r="12" spans="1:12" ht="12.75">
      <c r="A12" s="203">
        <v>1</v>
      </c>
      <c r="B12" s="224" t="s">
        <v>831</v>
      </c>
      <c r="C12" s="1011" t="s">
        <v>874</v>
      </c>
      <c r="D12" s="1012"/>
      <c r="E12" s="1012"/>
      <c r="F12" s="1012"/>
      <c r="G12" s="1012"/>
      <c r="H12" s="1012"/>
      <c r="I12" s="1012"/>
      <c r="J12" s="1012"/>
      <c r="K12" s="1012"/>
      <c r="L12" s="1013"/>
    </row>
    <row r="13" spans="1:12" ht="12.75">
      <c r="A13" s="203">
        <v>2</v>
      </c>
      <c r="B13" s="224" t="s">
        <v>832</v>
      </c>
      <c r="C13" s="1014"/>
      <c r="D13" s="1015"/>
      <c r="E13" s="1015"/>
      <c r="F13" s="1015"/>
      <c r="G13" s="1015"/>
      <c r="H13" s="1015"/>
      <c r="I13" s="1015"/>
      <c r="J13" s="1015"/>
      <c r="K13" s="1015"/>
      <c r="L13" s="1016"/>
    </row>
    <row r="14" spans="1:12" ht="12.75">
      <c r="A14" s="203">
        <v>3</v>
      </c>
      <c r="B14" s="224" t="s">
        <v>833</v>
      </c>
      <c r="C14" s="1014"/>
      <c r="D14" s="1015"/>
      <c r="E14" s="1015"/>
      <c r="F14" s="1015"/>
      <c r="G14" s="1015"/>
      <c r="H14" s="1015"/>
      <c r="I14" s="1015"/>
      <c r="J14" s="1015"/>
      <c r="K14" s="1015"/>
      <c r="L14" s="1016"/>
    </row>
    <row r="15" spans="1:12" ht="12.75">
      <c r="A15" s="203">
        <v>4</v>
      </c>
      <c r="B15" s="224" t="s">
        <v>834</v>
      </c>
      <c r="C15" s="1014"/>
      <c r="D15" s="1015"/>
      <c r="E15" s="1015"/>
      <c r="F15" s="1015"/>
      <c r="G15" s="1015"/>
      <c r="H15" s="1015"/>
      <c r="I15" s="1015"/>
      <c r="J15" s="1015"/>
      <c r="K15" s="1015"/>
      <c r="L15" s="1016"/>
    </row>
    <row r="16" spans="1:12" ht="12.75">
      <c r="A16" s="203">
        <v>5</v>
      </c>
      <c r="B16" s="224" t="s">
        <v>835</v>
      </c>
      <c r="C16" s="1014"/>
      <c r="D16" s="1015"/>
      <c r="E16" s="1015"/>
      <c r="F16" s="1015"/>
      <c r="G16" s="1015"/>
      <c r="H16" s="1015"/>
      <c r="I16" s="1015"/>
      <c r="J16" s="1015"/>
      <c r="K16" s="1015"/>
      <c r="L16" s="1016"/>
    </row>
    <row r="17" spans="1:12" ht="12.75">
      <c r="A17" s="203">
        <v>6</v>
      </c>
      <c r="B17" s="224" t="s">
        <v>836</v>
      </c>
      <c r="C17" s="1014"/>
      <c r="D17" s="1015"/>
      <c r="E17" s="1015"/>
      <c r="F17" s="1015"/>
      <c r="G17" s="1015"/>
      <c r="H17" s="1015"/>
      <c r="I17" s="1015"/>
      <c r="J17" s="1015"/>
      <c r="K17" s="1015"/>
      <c r="L17" s="1016"/>
    </row>
    <row r="18" spans="1:12" ht="12.75">
      <c r="A18" s="203">
        <v>7</v>
      </c>
      <c r="B18" s="224" t="s">
        <v>837</v>
      </c>
      <c r="C18" s="1014"/>
      <c r="D18" s="1015"/>
      <c r="E18" s="1015"/>
      <c r="F18" s="1015"/>
      <c r="G18" s="1015"/>
      <c r="H18" s="1015"/>
      <c r="I18" s="1015"/>
      <c r="J18" s="1015"/>
      <c r="K18" s="1015"/>
      <c r="L18" s="1016"/>
    </row>
    <row r="19" spans="1:12" ht="12.75">
      <c r="A19" s="203">
        <v>8</v>
      </c>
      <c r="B19" s="224" t="s">
        <v>838</v>
      </c>
      <c r="C19" s="1014"/>
      <c r="D19" s="1015"/>
      <c r="E19" s="1015"/>
      <c r="F19" s="1015"/>
      <c r="G19" s="1015"/>
      <c r="H19" s="1015"/>
      <c r="I19" s="1015"/>
      <c r="J19" s="1015"/>
      <c r="K19" s="1015"/>
      <c r="L19" s="1016"/>
    </row>
    <row r="20" spans="1:12" ht="12.75">
      <c r="A20" s="203">
        <v>9</v>
      </c>
      <c r="B20" s="224" t="s">
        <v>839</v>
      </c>
      <c r="C20" s="1014"/>
      <c r="D20" s="1015"/>
      <c r="E20" s="1015"/>
      <c r="F20" s="1015"/>
      <c r="G20" s="1015"/>
      <c r="H20" s="1015"/>
      <c r="I20" s="1015"/>
      <c r="J20" s="1015"/>
      <c r="K20" s="1015"/>
      <c r="L20" s="1016"/>
    </row>
    <row r="21" spans="1:12" ht="12.75">
      <c r="A21" s="203">
        <v>10</v>
      </c>
      <c r="B21" s="224" t="s">
        <v>840</v>
      </c>
      <c r="C21" s="1014"/>
      <c r="D21" s="1015"/>
      <c r="E21" s="1015"/>
      <c r="F21" s="1015"/>
      <c r="G21" s="1015"/>
      <c r="H21" s="1015"/>
      <c r="I21" s="1015"/>
      <c r="J21" s="1015"/>
      <c r="K21" s="1015"/>
      <c r="L21" s="1016"/>
    </row>
    <row r="22" spans="1:12" ht="12.75">
      <c r="A22" s="203">
        <v>11</v>
      </c>
      <c r="B22" s="224" t="s">
        <v>841</v>
      </c>
      <c r="C22" s="1014"/>
      <c r="D22" s="1015"/>
      <c r="E22" s="1015"/>
      <c r="F22" s="1015"/>
      <c r="G22" s="1015"/>
      <c r="H22" s="1015"/>
      <c r="I22" s="1015"/>
      <c r="J22" s="1015"/>
      <c r="K22" s="1015"/>
      <c r="L22" s="1016"/>
    </row>
    <row r="23" spans="1:12" ht="12.75">
      <c r="A23" s="203">
        <v>12</v>
      </c>
      <c r="B23" s="224" t="s">
        <v>842</v>
      </c>
      <c r="C23" s="1014"/>
      <c r="D23" s="1015"/>
      <c r="E23" s="1015"/>
      <c r="F23" s="1015"/>
      <c r="G23" s="1015"/>
      <c r="H23" s="1015"/>
      <c r="I23" s="1015"/>
      <c r="J23" s="1015"/>
      <c r="K23" s="1015"/>
      <c r="L23" s="1016"/>
    </row>
    <row r="24" spans="1:12" ht="12.75">
      <c r="A24" s="203">
        <v>13</v>
      </c>
      <c r="B24" s="224" t="s">
        <v>843</v>
      </c>
      <c r="C24" s="1014"/>
      <c r="D24" s="1015"/>
      <c r="E24" s="1015"/>
      <c r="F24" s="1015"/>
      <c r="G24" s="1015"/>
      <c r="H24" s="1015"/>
      <c r="I24" s="1015"/>
      <c r="J24" s="1015"/>
      <c r="K24" s="1015"/>
      <c r="L24" s="1016"/>
    </row>
    <row r="25" spans="1:12" ht="12.75">
      <c r="A25" s="203">
        <v>14</v>
      </c>
      <c r="B25" s="224" t="s">
        <v>844</v>
      </c>
      <c r="C25" s="1014"/>
      <c r="D25" s="1015"/>
      <c r="E25" s="1015"/>
      <c r="F25" s="1015"/>
      <c r="G25" s="1015"/>
      <c r="H25" s="1015"/>
      <c r="I25" s="1015"/>
      <c r="J25" s="1015"/>
      <c r="K25" s="1015"/>
      <c r="L25" s="1016"/>
    </row>
    <row r="26" spans="1:12" ht="12.75">
      <c r="A26" s="203">
        <v>15</v>
      </c>
      <c r="B26" s="224" t="s">
        <v>845</v>
      </c>
      <c r="C26" s="1014"/>
      <c r="D26" s="1015"/>
      <c r="E26" s="1015"/>
      <c r="F26" s="1015"/>
      <c r="G26" s="1015"/>
      <c r="H26" s="1015"/>
      <c r="I26" s="1015"/>
      <c r="J26" s="1015"/>
      <c r="K26" s="1015"/>
      <c r="L26" s="1016"/>
    </row>
    <row r="27" spans="1:12" ht="12.75">
      <c r="A27" s="203">
        <v>16</v>
      </c>
      <c r="B27" s="224" t="s">
        <v>846</v>
      </c>
      <c r="C27" s="1014"/>
      <c r="D27" s="1015"/>
      <c r="E27" s="1015"/>
      <c r="F27" s="1015"/>
      <c r="G27" s="1015"/>
      <c r="H27" s="1015"/>
      <c r="I27" s="1015"/>
      <c r="J27" s="1015"/>
      <c r="K27" s="1015"/>
      <c r="L27" s="1016"/>
    </row>
    <row r="28" spans="1:12" ht="12.75">
      <c r="A28" s="203">
        <v>17</v>
      </c>
      <c r="B28" s="224" t="s">
        <v>847</v>
      </c>
      <c r="C28" s="1014"/>
      <c r="D28" s="1015"/>
      <c r="E28" s="1015"/>
      <c r="F28" s="1015"/>
      <c r="G28" s="1015"/>
      <c r="H28" s="1015"/>
      <c r="I28" s="1015"/>
      <c r="J28" s="1015"/>
      <c r="K28" s="1015"/>
      <c r="L28" s="1016"/>
    </row>
    <row r="29" spans="1:12" ht="12.75">
      <c r="A29" s="203">
        <v>18</v>
      </c>
      <c r="B29" s="224" t="s">
        <v>848</v>
      </c>
      <c r="C29" s="1014"/>
      <c r="D29" s="1015"/>
      <c r="E29" s="1015"/>
      <c r="F29" s="1015"/>
      <c r="G29" s="1015"/>
      <c r="H29" s="1015"/>
      <c r="I29" s="1015"/>
      <c r="J29" s="1015"/>
      <c r="K29" s="1015"/>
      <c r="L29" s="1016"/>
    </row>
    <row r="30" spans="1:12" ht="12.75">
      <c r="A30" s="203">
        <v>19</v>
      </c>
      <c r="B30" s="224" t="s">
        <v>849</v>
      </c>
      <c r="C30" s="1014"/>
      <c r="D30" s="1015"/>
      <c r="E30" s="1015"/>
      <c r="F30" s="1015"/>
      <c r="G30" s="1015"/>
      <c r="H30" s="1015"/>
      <c r="I30" s="1015"/>
      <c r="J30" s="1015"/>
      <c r="K30" s="1015"/>
      <c r="L30" s="1016"/>
    </row>
    <row r="31" spans="1:12" ht="12.75">
      <c r="A31" s="203">
        <v>20</v>
      </c>
      <c r="B31" s="224" t="s">
        <v>850</v>
      </c>
      <c r="C31" s="1014"/>
      <c r="D31" s="1015"/>
      <c r="E31" s="1015"/>
      <c r="F31" s="1015"/>
      <c r="G31" s="1015"/>
      <c r="H31" s="1015"/>
      <c r="I31" s="1015"/>
      <c r="J31" s="1015"/>
      <c r="K31" s="1015"/>
      <c r="L31" s="1016"/>
    </row>
    <row r="32" spans="1:12" ht="12.75">
      <c r="A32" s="203">
        <v>21</v>
      </c>
      <c r="B32" s="224" t="s">
        <v>851</v>
      </c>
      <c r="C32" s="1014"/>
      <c r="D32" s="1015"/>
      <c r="E32" s="1015"/>
      <c r="F32" s="1015"/>
      <c r="G32" s="1015"/>
      <c r="H32" s="1015"/>
      <c r="I32" s="1015"/>
      <c r="J32" s="1015"/>
      <c r="K32" s="1015"/>
      <c r="L32" s="1016"/>
    </row>
    <row r="33" spans="1:12" ht="12.75">
      <c r="A33" s="203">
        <v>22</v>
      </c>
      <c r="B33" s="224" t="s">
        <v>852</v>
      </c>
      <c r="C33" s="1014"/>
      <c r="D33" s="1015"/>
      <c r="E33" s="1015"/>
      <c r="F33" s="1015"/>
      <c r="G33" s="1015"/>
      <c r="H33" s="1015"/>
      <c r="I33" s="1015"/>
      <c r="J33" s="1015"/>
      <c r="K33" s="1015"/>
      <c r="L33" s="1016"/>
    </row>
    <row r="34" spans="1:12" ht="12.75">
      <c r="A34" s="203">
        <v>23</v>
      </c>
      <c r="B34" s="224" t="s">
        <v>853</v>
      </c>
      <c r="C34" s="1014"/>
      <c r="D34" s="1015"/>
      <c r="E34" s="1015"/>
      <c r="F34" s="1015"/>
      <c r="G34" s="1015"/>
      <c r="H34" s="1015"/>
      <c r="I34" s="1015"/>
      <c r="J34" s="1015"/>
      <c r="K34" s="1015"/>
      <c r="L34" s="1016"/>
    </row>
    <row r="35" spans="1:12" ht="12.75">
      <c r="A35" s="203">
        <v>24</v>
      </c>
      <c r="B35" s="224" t="s">
        <v>854</v>
      </c>
      <c r="C35" s="1014"/>
      <c r="D35" s="1015"/>
      <c r="E35" s="1015"/>
      <c r="F35" s="1015"/>
      <c r="G35" s="1015"/>
      <c r="H35" s="1015"/>
      <c r="I35" s="1015"/>
      <c r="J35" s="1015"/>
      <c r="K35" s="1015"/>
      <c r="L35" s="1016"/>
    </row>
    <row r="36" spans="1:12" ht="12.75">
      <c r="A36" s="871" t="s">
        <v>13</v>
      </c>
      <c r="B36" s="872"/>
      <c r="C36" s="1017"/>
      <c r="D36" s="1018"/>
      <c r="E36" s="1018"/>
      <c r="F36" s="1018"/>
      <c r="G36" s="1018"/>
      <c r="H36" s="1018"/>
      <c r="I36" s="1018"/>
      <c r="J36" s="1018"/>
      <c r="K36" s="1018"/>
      <c r="L36" s="1019"/>
    </row>
    <row r="37" spans="1:10" ht="12.75">
      <c r="A37" s="75"/>
      <c r="B37" s="91"/>
      <c r="C37" s="91"/>
      <c r="D37" s="202"/>
      <c r="E37" s="202"/>
      <c r="F37" s="202"/>
      <c r="G37" s="202"/>
      <c r="H37" s="202"/>
      <c r="I37" s="202"/>
      <c r="J37" s="202"/>
    </row>
    <row r="38" spans="1:10" ht="12.75">
      <c r="A38" s="75"/>
      <c r="B38" s="91"/>
      <c r="C38" s="91"/>
      <c r="D38" s="202"/>
      <c r="E38" s="202"/>
      <c r="F38" s="202"/>
      <c r="G38" s="202"/>
      <c r="H38" s="202"/>
      <c r="I38" s="202"/>
      <c r="J38" s="202"/>
    </row>
    <row r="39" spans="1:10" ht="12.75">
      <c r="A39" s="75"/>
      <c r="B39" s="91"/>
      <c r="C39" s="91"/>
      <c r="D39" s="202"/>
      <c r="E39" s="202"/>
      <c r="F39" s="202"/>
      <c r="G39" s="202"/>
      <c r="H39" s="202"/>
      <c r="I39" s="202"/>
      <c r="J39" s="202"/>
    </row>
    <row r="40" spans="1:10" ht="15.75" customHeight="1">
      <c r="A40" s="77"/>
      <c r="B40" s="77"/>
      <c r="C40" s="77"/>
      <c r="D40" s="77"/>
      <c r="E40" s="77"/>
      <c r="F40" s="77"/>
      <c r="G40" s="77"/>
      <c r="I40" s="357"/>
      <c r="J40" s="357"/>
    </row>
    <row r="41" spans="1:11" ht="12.75" customHeight="1">
      <c r="A41" s="559" t="s">
        <v>989</v>
      </c>
      <c r="B41" s="559"/>
      <c r="C41" s="559"/>
      <c r="D41" s="12"/>
      <c r="E41" s="12"/>
      <c r="F41" s="559" t="s">
        <v>990</v>
      </c>
      <c r="G41" s="559"/>
      <c r="H41" s="12"/>
      <c r="I41" s="559" t="s">
        <v>996</v>
      </c>
      <c r="J41" s="559"/>
      <c r="K41" s="559"/>
    </row>
    <row r="42" spans="1:11" ht="12.75" customHeight="1">
      <c r="A42" s="559" t="s">
        <v>991</v>
      </c>
      <c r="B42" s="559"/>
      <c r="C42" s="559"/>
      <c r="D42" s="12"/>
      <c r="E42" s="12"/>
      <c r="F42" s="559" t="s">
        <v>992</v>
      </c>
      <c r="G42" s="559"/>
      <c r="H42" s="12"/>
      <c r="I42" s="559" t="s">
        <v>993</v>
      </c>
      <c r="J42" s="559" t="s">
        <v>993</v>
      </c>
      <c r="K42" s="559"/>
    </row>
    <row r="43" spans="1:11" ht="12.75">
      <c r="A43" s="559" t="s">
        <v>994</v>
      </c>
      <c r="B43" s="559"/>
      <c r="C43" s="559"/>
      <c r="D43" s="12"/>
      <c r="E43" s="12"/>
      <c r="F43" s="559" t="s">
        <v>995</v>
      </c>
      <c r="G43" s="559"/>
      <c r="H43" s="12"/>
      <c r="I43" s="559" t="s">
        <v>995</v>
      </c>
      <c r="J43" s="559" t="s">
        <v>995</v>
      </c>
      <c r="K43" s="559"/>
    </row>
    <row r="47" spans="1:10" ht="12.75">
      <c r="A47" s="1023"/>
      <c r="B47" s="1023"/>
      <c r="C47" s="1023"/>
      <c r="D47" s="1023"/>
      <c r="E47" s="1023"/>
      <c r="F47" s="1023"/>
      <c r="G47" s="1023"/>
      <c r="H47" s="1023"/>
      <c r="I47" s="1023"/>
      <c r="J47" s="1023"/>
    </row>
    <row r="49" spans="1:10" ht="12.75">
      <c r="A49" s="1023"/>
      <c r="B49" s="1023"/>
      <c r="C49" s="1023"/>
      <c r="D49" s="1023"/>
      <c r="E49" s="1023"/>
      <c r="F49" s="1023"/>
      <c r="G49" s="1023"/>
      <c r="H49" s="1023"/>
      <c r="I49" s="1023"/>
      <c r="J49" s="1023"/>
    </row>
  </sheetData>
  <sheetProtection/>
  <mergeCells count="26">
    <mergeCell ref="A49:J49"/>
    <mergeCell ref="A9:A10"/>
    <mergeCell ref="B9:B10"/>
    <mergeCell ref="C9:D9"/>
    <mergeCell ref="I9:J9"/>
    <mergeCell ref="A47:J47"/>
    <mergeCell ref="A43:C43"/>
    <mergeCell ref="F43:G43"/>
    <mergeCell ref="I43:K43"/>
    <mergeCell ref="A41:C41"/>
    <mergeCell ref="E1:I1"/>
    <mergeCell ref="A8:B8"/>
    <mergeCell ref="H8:J8"/>
    <mergeCell ref="C12:L36"/>
    <mergeCell ref="A5:L5"/>
    <mergeCell ref="E9:F9"/>
    <mergeCell ref="G9:H9"/>
    <mergeCell ref="K9:L9"/>
    <mergeCell ref="A3:L3"/>
    <mergeCell ref="A2:L2"/>
    <mergeCell ref="F41:G41"/>
    <mergeCell ref="I41:K41"/>
    <mergeCell ref="A42:C42"/>
    <mergeCell ref="F42:G42"/>
    <mergeCell ref="I42:K42"/>
    <mergeCell ref="A36:B3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69.xml><?xml version="1.0" encoding="utf-8"?>
<worksheet xmlns="http://schemas.openxmlformats.org/spreadsheetml/2006/main" xmlns:r="http://schemas.openxmlformats.org/officeDocument/2006/relationships">
  <dimension ref="A1:W83"/>
  <sheetViews>
    <sheetView zoomScale="85" zoomScaleNormal="85" zoomScalePageLayoutView="0" workbookViewId="0" topLeftCell="A46">
      <selection activeCell="O34" sqref="O34"/>
    </sheetView>
  </sheetViews>
  <sheetFormatPr defaultColWidth="9.140625" defaultRowHeight="12.75"/>
  <cols>
    <col min="1" max="1" width="6.28125" style="65" bestFit="1" customWidth="1"/>
    <col min="2" max="2" width="21.421875" style="65" customWidth="1"/>
    <col min="3" max="7" width="8.28125" style="65" customWidth="1"/>
    <col min="8" max="14" width="10.140625" style="65" customWidth="1"/>
    <col min="15" max="15" width="9.7109375" style="65" customWidth="1"/>
    <col min="16" max="17" width="9.57421875" style="65" customWidth="1"/>
    <col min="18" max="18" width="10.421875" style="65" customWidth="1"/>
    <col min="19" max="19" width="9.8515625" style="65" customWidth="1"/>
    <col min="20" max="21" width="11.7109375" style="65" customWidth="1"/>
    <col min="22" max="16384" width="9.140625" style="65" customWidth="1"/>
  </cols>
  <sheetData>
    <row r="1" spans="1:18" ht="18.75">
      <c r="A1" s="1031" t="s">
        <v>920</v>
      </c>
      <c r="B1" s="1031"/>
      <c r="C1" s="1031"/>
      <c r="D1" s="1031"/>
      <c r="E1" s="1031"/>
      <c r="F1" s="1031"/>
      <c r="G1" s="1031"/>
      <c r="H1" s="1031"/>
      <c r="I1" s="1031"/>
      <c r="J1" s="1031"/>
      <c r="K1" s="1031"/>
      <c r="L1" s="1031"/>
      <c r="M1" s="1031"/>
      <c r="N1" s="1031"/>
      <c r="O1" s="1031"/>
      <c r="P1" s="1031"/>
      <c r="Q1" s="1031"/>
      <c r="R1" s="1031"/>
    </row>
    <row r="2" spans="1:18" ht="18.75">
      <c r="A2" s="1031" t="s">
        <v>921</v>
      </c>
      <c r="B2" s="1031"/>
      <c r="C2" s="1031"/>
      <c r="D2" s="1031"/>
      <c r="E2" s="1031"/>
      <c r="F2" s="1031"/>
      <c r="G2" s="1031"/>
      <c r="H2" s="1031"/>
      <c r="I2" s="1031"/>
      <c r="J2" s="1031"/>
      <c r="K2" s="1031"/>
      <c r="L2" s="1031"/>
      <c r="M2" s="1031"/>
      <c r="N2" s="1031"/>
      <c r="O2" s="1031"/>
      <c r="P2" s="1031"/>
      <c r="Q2" s="1031"/>
      <c r="R2" s="1031"/>
    </row>
    <row r="3" spans="1:18" ht="18.75">
      <c r="A3" s="1031" t="s">
        <v>922</v>
      </c>
      <c r="B3" s="1031"/>
      <c r="C3" s="1031"/>
      <c r="D3" s="1031"/>
      <c r="E3" s="1031"/>
      <c r="F3" s="1031"/>
      <c r="G3" s="1031"/>
      <c r="H3" s="1031"/>
      <c r="I3" s="1031"/>
      <c r="J3" s="1031"/>
      <c r="K3" s="1031"/>
      <c r="L3" s="1031"/>
      <c r="M3" s="1031"/>
      <c r="N3" s="1031"/>
      <c r="O3" s="1031"/>
      <c r="P3" s="1031"/>
      <c r="Q3" s="1031"/>
      <c r="R3" s="1031"/>
    </row>
    <row r="4" spans="1:18" ht="18.75">
      <c r="A4" s="1031" t="s">
        <v>946</v>
      </c>
      <c r="B4" s="1031"/>
      <c r="C4" s="1031"/>
      <c r="D4" s="1031"/>
      <c r="E4" s="1031"/>
      <c r="F4" s="1031"/>
      <c r="G4" s="1031"/>
      <c r="H4" s="1031"/>
      <c r="I4" s="1031"/>
      <c r="J4" s="1031"/>
      <c r="K4" s="1031"/>
      <c r="L4" s="1031"/>
      <c r="M4" s="1031"/>
      <c r="N4" s="1031"/>
      <c r="O4" s="1031"/>
      <c r="P4" s="1031"/>
      <c r="Q4" s="1031"/>
      <c r="R4" s="1031"/>
    </row>
    <row r="6" spans="1:18" s="300" customFormat="1" ht="42" customHeight="1">
      <c r="A6" s="1029" t="s">
        <v>923</v>
      </c>
      <c r="B6" s="1029" t="s">
        <v>2</v>
      </c>
      <c r="C6" s="1028" t="s">
        <v>943</v>
      </c>
      <c r="D6" s="1028"/>
      <c r="E6" s="1028"/>
      <c r="F6" s="1029" t="s">
        <v>924</v>
      </c>
      <c r="G6" s="1029" t="s">
        <v>945</v>
      </c>
      <c r="H6" s="1025" t="s">
        <v>925</v>
      </c>
      <c r="I6" s="1026"/>
      <c r="J6" s="1025" t="s">
        <v>46</v>
      </c>
      <c r="K6" s="1026"/>
      <c r="L6" s="1025" t="s">
        <v>123</v>
      </c>
      <c r="M6" s="1026"/>
      <c r="N6" s="1025" t="s">
        <v>926</v>
      </c>
      <c r="O6" s="1026"/>
      <c r="P6" s="1028" t="s">
        <v>918</v>
      </c>
      <c r="Q6" s="1029" t="s">
        <v>919</v>
      </c>
      <c r="R6" s="1029" t="s">
        <v>125</v>
      </c>
    </row>
    <row r="7" spans="1:18" s="300" customFormat="1" ht="30">
      <c r="A7" s="1030"/>
      <c r="B7" s="1030"/>
      <c r="C7" s="301" t="s">
        <v>18</v>
      </c>
      <c r="D7" s="301" t="s">
        <v>19</v>
      </c>
      <c r="E7" s="301" t="s">
        <v>927</v>
      </c>
      <c r="F7" s="1030"/>
      <c r="G7" s="1030"/>
      <c r="H7" s="301" t="s">
        <v>18</v>
      </c>
      <c r="I7" s="301" t="s">
        <v>19</v>
      </c>
      <c r="J7" s="301" t="s">
        <v>18</v>
      </c>
      <c r="K7" s="301" t="s">
        <v>19</v>
      </c>
      <c r="L7" s="301" t="s">
        <v>18</v>
      </c>
      <c r="M7" s="301" t="s">
        <v>19</v>
      </c>
      <c r="N7" s="301" t="s">
        <v>928</v>
      </c>
      <c r="O7" s="301" t="s">
        <v>94</v>
      </c>
      <c r="P7" s="1028"/>
      <c r="Q7" s="1030"/>
      <c r="R7" s="1030"/>
    </row>
    <row r="8" spans="1:18" s="300" customFormat="1" ht="15">
      <c r="A8" s="302">
        <v>1</v>
      </c>
      <c r="B8" s="302">
        <v>2</v>
      </c>
      <c r="C8" s="302">
        <v>3</v>
      </c>
      <c r="D8" s="302">
        <v>4</v>
      </c>
      <c r="E8" s="302">
        <v>5</v>
      </c>
      <c r="F8" s="302">
        <v>6</v>
      </c>
      <c r="G8" s="302">
        <v>7</v>
      </c>
      <c r="H8" s="302">
        <v>8</v>
      </c>
      <c r="I8" s="302">
        <v>9</v>
      </c>
      <c r="J8" s="302">
        <v>10</v>
      </c>
      <c r="K8" s="302">
        <v>11</v>
      </c>
      <c r="L8" s="302">
        <v>12</v>
      </c>
      <c r="M8" s="302">
        <v>13</v>
      </c>
      <c r="N8" s="302">
        <v>14</v>
      </c>
      <c r="O8" s="302">
        <v>15</v>
      </c>
      <c r="P8" s="302">
        <v>16</v>
      </c>
      <c r="Q8" s="302">
        <v>17</v>
      </c>
      <c r="R8" s="302">
        <v>18</v>
      </c>
    </row>
    <row r="9" spans="1:18" s="300" customFormat="1" ht="75">
      <c r="A9" s="302"/>
      <c r="B9" s="302"/>
      <c r="C9" s="302"/>
      <c r="D9" s="302"/>
      <c r="E9" s="302"/>
      <c r="F9" s="302"/>
      <c r="G9" s="302"/>
      <c r="H9" s="302" t="s">
        <v>932</v>
      </c>
      <c r="I9" s="302" t="s">
        <v>933</v>
      </c>
      <c r="J9" s="302" t="s">
        <v>934</v>
      </c>
      <c r="K9" s="302" t="s">
        <v>935</v>
      </c>
      <c r="L9" s="302" t="s">
        <v>936</v>
      </c>
      <c r="M9" s="302" t="s">
        <v>937</v>
      </c>
      <c r="N9" s="302" t="s">
        <v>938</v>
      </c>
      <c r="O9" s="302" t="s">
        <v>939</v>
      </c>
      <c r="P9" s="302" t="s">
        <v>940</v>
      </c>
      <c r="Q9" s="302" t="s">
        <v>941</v>
      </c>
      <c r="R9" s="302" t="s">
        <v>942</v>
      </c>
    </row>
    <row r="10" spans="1:23" ht="15" customHeight="1">
      <c r="A10" s="87">
        <v>1</v>
      </c>
      <c r="B10" s="224" t="s">
        <v>831</v>
      </c>
      <c r="C10" s="66">
        <f>'AT27_Req_FG_CA_Pry'!G11</f>
        <v>138665</v>
      </c>
      <c r="D10" s="66">
        <f>'AT27A_Req_FG_CA_U Pry '!G10</f>
        <v>62866</v>
      </c>
      <c r="E10" s="66">
        <f>'AT27B_Req_FG_CA_N CLP'!C10</f>
        <v>668</v>
      </c>
      <c r="F10" s="66">
        <v>5360</v>
      </c>
      <c r="G10" s="303">
        <v>5316</v>
      </c>
      <c r="H10" s="296">
        <f>C10*0.0001*254</f>
        <v>3522.091</v>
      </c>
      <c r="I10" s="296">
        <f>D10*254*0.00015+E10*313*0.00015</f>
        <v>2426.5571999999997</v>
      </c>
      <c r="J10" s="296">
        <f>C10*254*0.00002</f>
        <v>704.4182000000001</v>
      </c>
      <c r="K10" s="296">
        <f>D10*254*0.00003+E10*312*0.00003</f>
        <v>485.2914</v>
      </c>
      <c r="L10" s="296">
        <f>C10*254*2.48/100000</f>
        <v>873.478568</v>
      </c>
      <c r="M10" s="296">
        <f>D10*254*3.71/100000+E10*312*3.71/100000</f>
        <v>600.143698</v>
      </c>
      <c r="N10" s="296">
        <f>G10*600*10/100000</f>
        <v>318.96</v>
      </c>
      <c r="O10" s="296">
        <f>G10*900*10/100000</f>
        <v>478.44</v>
      </c>
      <c r="P10" s="304">
        <f>H10*750/100000+I10*750/100000</f>
        <v>44.614861499999996</v>
      </c>
      <c r="Q10" s="304">
        <f>(H10+I10)*3000/100000</f>
        <v>178.45944599999999</v>
      </c>
      <c r="R10" s="304">
        <f>1.8/100*(L10+M10+N10+P10+Q10)</f>
        <v>36.281818323</v>
      </c>
      <c r="T10" s="305"/>
      <c r="U10" s="305"/>
      <c r="W10" s="305"/>
    </row>
    <row r="11" spans="1:23" ht="15">
      <c r="A11" s="87">
        <v>2</v>
      </c>
      <c r="B11" s="224" t="s">
        <v>832</v>
      </c>
      <c r="C11" s="66">
        <f>'AT27_Req_FG_CA_Pry'!G12</f>
        <v>53810</v>
      </c>
      <c r="D11" s="66">
        <f>'AT27A_Req_FG_CA_U Pry '!G11</f>
        <v>19405</v>
      </c>
      <c r="E11" s="66">
        <f>'AT27B_Req_FG_CA_N CLP'!C11</f>
        <v>0</v>
      </c>
      <c r="F11" s="66">
        <v>1802</v>
      </c>
      <c r="G11" s="303">
        <v>1637</v>
      </c>
      <c r="H11" s="296">
        <f aca="true" t="shared" si="0" ref="H11:H33">C11*0.0001*254</f>
        <v>1366.7740000000001</v>
      </c>
      <c r="I11" s="296">
        <f aca="true" t="shared" si="1" ref="I11:I33">D11*254*0.00015+E11*313*0.00015</f>
        <v>739.3304999999999</v>
      </c>
      <c r="J11" s="296">
        <f aca="true" t="shared" si="2" ref="J11:J33">C11*254*0.00002</f>
        <v>273.3548</v>
      </c>
      <c r="K11" s="296">
        <f aca="true" t="shared" si="3" ref="K11:K33">D11*254*0.00003+E11*312*0.00003</f>
        <v>147.86610000000002</v>
      </c>
      <c r="L11" s="296">
        <f aca="true" t="shared" si="4" ref="L11:L33">C11*254*2.48/100000</f>
        <v>338.95995200000004</v>
      </c>
      <c r="M11" s="296">
        <f aca="true" t="shared" si="5" ref="M11:M33">D11*254*3.71/100000+E11*312*3.71/100000</f>
        <v>182.861077</v>
      </c>
      <c r="N11" s="296">
        <f aca="true" t="shared" si="6" ref="N11:N33">G11*600*10/100000</f>
        <v>98.22</v>
      </c>
      <c r="O11" s="296">
        <f aca="true" t="shared" si="7" ref="O11:O33">G11*900*10/100000</f>
        <v>147.33</v>
      </c>
      <c r="P11" s="304">
        <f aca="true" t="shared" si="8" ref="P11:P33">H11*750/100000+I11*750/100000</f>
        <v>15.79578375</v>
      </c>
      <c r="Q11" s="304">
        <f aca="true" t="shared" si="9" ref="Q11:Q33">(H11+I11)*3000/100000</f>
        <v>63.183135</v>
      </c>
      <c r="R11" s="304">
        <f aca="true" t="shared" si="10" ref="R11:R33">1.8/100*(L11+M11+N11+P11+Q11)</f>
        <v>12.582359059500003</v>
      </c>
      <c r="T11" s="305"/>
      <c r="U11" s="305"/>
      <c r="W11" s="305"/>
    </row>
    <row r="12" spans="1:23" ht="15">
      <c r="A12" s="87">
        <v>3</v>
      </c>
      <c r="B12" s="224" t="s">
        <v>833</v>
      </c>
      <c r="C12" s="66">
        <f>'AT27_Req_FG_CA_Pry'!G13</f>
        <v>39236</v>
      </c>
      <c r="D12" s="66">
        <f>'AT27A_Req_FG_CA_U Pry '!G12</f>
        <v>15926</v>
      </c>
      <c r="E12" s="66">
        <f>'AT27B_Req_FG_CA_N CLP'!C12</f>
        <v>0</v>
      </c>
      <c r="F12" s="66">
        <v>1478</v>
      </c>
      <c r="G12" s="303">
        <v>1205</v>
      </c>
      <c r="H12" s="296">
        <f t="shared" si="0"/>
        <v>996.5944</v>
      </c>
      <c r="I12" s="296">
        <f t="shared" si="1"/>
        <v>606.7805999999999</v>
      </c>
      <c r="J12" s="296">
        <f t="shared" si="2"/>
        <v>199.31888</v>
      </c>
      <c r="K12" s="296">
        <f t="shared" si="3"/>
        <v>121.35612</v>
      </c>
      <c r="L12" s="296">
        <f t="shared" si="4"/>
        <v>247.1554112</v>
      </c>
      <c r="M12" s="296">
        <f t="shared" si="5"/>
        <v>150.0770684</v>
      </c>
      <c r="N12" s="296">
        <f t="shared" si="6"/>
        <v>72.3</v>
      </c>
      <c r="O12" s="296">
        <f t="shared" si="7"/>
        <v>108.45</v>
      </c>
      <c r="P12" s="304">
        <f t="shared" si="8"/>
        <v>12.025312499999998</v>
      </c>
      <c r="Q12" s="304">
        <f t="shared" si="9"/>
        <v>48.10125</v>
      </c>
      <c r="R12" s="304">
        <f t="shared" si="10"/>
        <v>9.533862757800003</v>
      </c>
      <c r="T12" s="305"/>
      <c r="U12" s="305"/>
      <c r="W12" s="305"/>
    </row>
    <row r="13" spans="1:23" ht="15">
      <c r="A13" s="87">
        <v>4</v>
      </c>
      <c r="B13" s="224" t="s">
        <v>834</v>
      </c>
      <c r="C13" s="66">
        <f>'AT27_Req_FG_CA_Pry'!G14</f>
        <v>108924</v>
      </c>
      <c r="D13" s="66">
        <f>'AT27A_Req_FG_CA_U Pry '!G13</f>
        <v>41473</v>
      </c>
      <c r="E13" s="66">
        <f>'AT27B_Req_FG_CA_N CLP'!C13</f>
        <v>0</v>
      </c>
      <c r="F13" s="66">
        <v>3802</v>
      </c>
      <c r="G13" s="303">
        <v>3721</v>
      </c>
      <c r="H13" s="296">
        <f t="shared" si="0"/>
        <v>2766.6696</v>
      </c>
      <c r="I13" s="296">
        <f t="shared" si="1"/>
        <v>1580.1212999999998</v>
      </c>
      <c r="J13" s="296">
        <f t="shared" si="2"/>
        <v>553.33392</v>
      </c>
      <c r="K13" s="296">
        <f t="shared" si="3"/>
        <v>316.02426</v>
      </c>
      <c r="L13" s="296">
        <f t="shared" si="4"/>
        <v>686.1340607999999</v>
      </c>
      <c r="M13" s="296">
        <f t="shared" si="5"/>
        <v>390.8166682</v>
      </c>
      <c r="N13" s="296">
        <f t="shared" si="6"/>
        <v>223.26</v>
      </c>
      <c r="O13" s="296">
        <f t="shared" si="7"/>
        <v>334.89</v>
      </c>
      <c r="P13" s="304">
        <f t="shared" si="8"/>
        <v>32.60093175</v>
      </c>
      <c r="Q13" s="304">
        <f t="shared" si="9"/>
        <v>130.403727</v>
      </c>
      <c r="R13" s="304">
        <f t="shared" si="10"/>
        <v>26.337876979500003</v>
      </c>
      <c r="T13" s="305"/>
      <c r="U13" s="305"/>
      <c r="W13" s="305"/>
    </row>
    <row r="14" spans="1:23" ht="15">
      <c r="A14" s="87">
        <v>5</v>
      </c>
      <c r="B14" s="224" t="s">
        <v>835</v>
      </c>
      <c r="C14" s="66">
        <f>'AT27_Req_FG_CA_Pry'!G15</f>
        <v>57739</v>
      </c>
      <c r="D14" s="66">
        <f>'AT27A_Req_FG_CA_U Pry '!G14</f>
        <v>22561</v>
      </c>
      <c r="E14" s="66">
        <f>'AT27B_Req_FG_CA_N CLP'!C14</f>
        <v>0</v>
      </c>
      <c r="F14" s="66">
        <v>2269</v>
      </c>
      <c r="G14" s="303">
        <v>2269</v>
      </c>
      <c r="H14" s="296">
        <f t="shared" si="0"/>
        <v>1466.5706</v>
      </c>
      <c r="I14" s="296">
        <f t="shared" si="1"/>
        <v>859.5740999999999</v>
      </c>
      <c r="J14" s="296">
        <f t="shared" si="2"/>
        <v>293.31412</v>
      </c>
      <c r="K14" s="296">
        <f t="shared" si="3"/>
        <v>171.91482</v>
      </c>
      <c r="L14" s="296">
        <f t="shared" si="4"/>
        <v>363.70950880000004</v>
      </c>
      <c r="M14" s="296">
        <f t="shared" si="5"/>
        <v>212.60132739999997</v>
      </c>
      <c r="N14" s="296">
        <f t="shared" si="6"/>
        <v>136.14</v>
      </c>
      <c r="O14" s="296">
        <f t="shared" si="7"/>
        <v>204.21</v>
      </c>
      <c r="P14" s="304">
        <f t="shared" si="8"/>
        <v>17.44608525</v>
      </c>
      <c r="Q14" s="304">
        <f t="shared" si="9"/>
        <v>69.784341</v>
      </c>
      <c r="R14" s="304">
        <f t="shared" si="10"/>
        <v>14.394262724100003</v>
      </c>
      <c r="T14" s="305"/>
      <c r="U14" s="305"/>
      <c r="W14" s="305"/>
    </row>
    <row r="15" spans="1:23" ht="15">
      <c r="A15" s="87">
        <v>6</v>
      </c>
      <c r="B15" s="224" t="s">
        <v>836</v>
      </c>
      <c r="C15" s="66">
        <f>'AT27_Req_FG_CA_Pry'!G16</f>
        <v>91664</v>
      </c>
      <c r="D15" s="66">
        <f>'AT27A_Req_FG_CA_U Pry '!G15</f>
        <v>45139</v>
      </c>
      <c r="E15" s="66">
        <f>'AT27B_Req_FG_CA_N CLP'!C15</f>
        <v>0</v>
      </c>
      <c r="F15" s="66">
        <v>3680</v>
      </c>
      <c r="G15" s="303">
        <v>3467</v>
      </c>
      <c r="H15" s="296">
        <f t="shared" si="0"/>
        <v>2328.2656</v>
      </c>
      <c r="I15" s="296">
        <f t="shared" si="1"/>
        <v>1719.7958999999998</v>
      </c>
      <c r="J15" s="296">
        <f t="shared" si="2"/>
        <v>465.65312000000006</v>
      </c>
      <c r="K15" s="296">
        <f t="shared" si="3"/>
        <v>343.95918</v>
      </c>
      <c r="L15" s="296">
        <f t="shared" si="4"/>
        <v>577.4098688</v>
      </c>
      <c r="M15" s="296">
        <f t="shared" si="5"/>
        <v>425.3628526</v>
      </c>
      <c r="N15" s="296">
        <f t="shared" si="6"/>
        <v>208.02</v>
      </c>
      <c r="O15" s="296">
        <f t="shared" si="7"/>
        <v>312.03</v>
      </c>
      <c r="P15" s="304">
        <f t="shared" si="8"/>
        <v>30.36046125</v>
      </c>
      <c r="Q15" s="304">
        <f t="shared" si="9"/>
        <v>121.441845</v>
      </c>
      <c r="R15" s="304">
        <f t="shared" si="10"/>
        <v>24.52671049770001</v>
      </c>
      <c r="T15" s="305"/>
      <c r="U15" s="305"/>
      <c r="W15" s="305"/>
    </row>
    <row r="16" spans="1:23" ht="15">
      <c r="A16" s="87">
        <v>7</v>
      </c>
      <c r="B16" s="224" t="s">
        <v>837</v>
      </c>
      <c r="C16" s="66">
        <f>'AT27_Req_FG_CA_Pry'!G17</f>
        <v>67896</v>
      </c>
      <c r="D16" s="66">
        <f>'AT27A_Req_FG_CA_U Pry '!G16</f>
        <v>42623</v>
      </c>
      <c r="E16" s="66">
        <f>'AT27B_Req_FG_CA_N CLP'!C16</f>
        <v>0</v>
      </c>
      <c r="F16" s="66">
        <v>3032</v>
      </c>
      <c r="G16" s="303">
        <v>2850</v>
      </c>
      <c r="H16" s="296">
        <f t="shared" si="0"/>
        <v>1724.5584000000001</v>
      </c>
      <c r="I16" s="296">
        <f t="shared" si="1"/>
        <v>1623.9362999999998</v>
      </c>
      <c r="J16" s="296">
        <f t="shared" si="2"/>
        <v>344.91168000000005</v>
      </c>
      <c r="K16" s="296">
        <f t="shared" si="3"/>
        <v>324.78726</v>
      </c>
      <c r="L16" s="296">
        <f t="shared" si="4"/>
        <v>427.6904832</v>
      </c>
      <c r="M16" s="296">
        <f t="shared" si="5"/>
        <v>401.6535782</v>
      </c>
      <c r="N16" s="296">
        <f t="shared" si="6"/>
        <v>171</v>
      </c>
      <c r="O16" s="296">
        <f t="shared" si="7"/>
        <v>256.5</v>
      </c>
      <c r="P16" s="304">
        <f t="shared" si="8"/>
        <v>25.113710249999997</v>
      </c>
      <c r="Q16" s="304">
        <f t="shared" si="9"/>
        <v>100.45484100000002</v>
      </c>
      <c r="R16" s="304">
        <f t="shared" si="10"/>
        <v>20.266427027700004</v>
      </c>
      <c r="T16" s="305"/>
      <c r="U16" s="305"/>
      <c r="W16" s="305"/>
    </row>
    <row r="17" spans="1:23" ht="15">
      <c r="A17" s="87">
        <v>8</v>
      </c>
      <c r="B17" s="224" t="s">
        <v>838</v>
      </c>
      <c r="C17" s="66">
        <f>'AT27_Req_FG_CA_Pry'!G18</f>
        <v>143912</v>
      </c>
      <c r="D17" s="66">
        <f>'AT27A_Req_FG_CA_U Pry '!G17</f>
        <v>53336</v>
      </c>
      <c r="E17" s="66">
        <f>'AT27B_Req_FG_CA_N CLP'!C17</f>
        <v>899</v>
      </c>
      <c r="F17" s="66">
        <v>4015</v>
      </c>
      <c r="G17" s="303">
        <v>3818</v>
      </c>
      <c r="H17" s="296">
        <f t="shared" si="0"/>
        <v>3655.3648000000003</v>
      </c>
      <c r="I17" s="296">
        <f t="shared" si="1"/>
        <v>2074.3096499999997</v>
      </c>
      <c r="J17" s="296">
        <f t="shared" si="2"/>
        <v>731.0729600000001</v>
      </c>
      <c r="K17" s="296">
        <f t="shared" si="3"/>
        <v>414.83496</v>
      </c>
      <c r="L17" s="296">
        <f t="shared" si="4"/>
        <v>906.5304704</v>
      </c>
      <c r="M17" s="296">
        <f t="shared" si="5"/>
        <v>513.0125672</v>
      </c>
      <c r="N17" s="296">
        <f t="shared" si="6"/>
        <v>229.08</v>
      </c>
      <c r="O17" s="296">
        <f t="shared" si="7"/>
        <v>343.62</v>
      </c>
      <c r="P17" s="304">
        <f t="shared" si="8"/>
        <v>42.972558375</v>
      </c>
      <c r="Q17" s="304">
        <f t="shared" si="9"/>
        <v>171.89023350000002</v>
      </c>
      <c r="R17" s="304">
        <f t="shared" si="10"/>
        <v>33.54274493055</v>
      </c>
      <c r="T17" s="305"/>
      <c r="U17" s="305"/>
      <c r="W17" s="305"/>
    </row>
    <row r="18" spans="1:23" ht="15">
      <c r="A18" s="87">
        <v>9</v>
      </c>
      <c r="B18" s="224" t="s">
        <v>839</v>
      </c>
      <c r="C18" s="66">
        <f>'AT27_Req_FG_CA_Pry'!G19</f>
        <v>200247</v>
      </c>
      <c r="D18" s="66">
        <f>'AT27A_Req_FG_CA_U Pry '!G18</f>
        <v>89582</v>
      </c>
      <c r="E18" s="66">
        <f>'AT27B_Req_FG_CA_N CLP'!C18</f>
        <v>0</v>
      </c>
      <c r="F18" s="66">
        <v>5789</v>
      </c>
      <c r="G18" s="306">
        <v>5569</v>
      </c>
      <c r="H18" s="296">
        <f t="shared" si="0"/>
        <v>5086.2738</v>
      </c>
      <c r="I18" s="296">
        <f t="shared" si="1"/>
        <v>3413.0741999999996</v>
      </c>
      <c r="J18" s="296">
        <f t="shared" si="2"/>
        <v>1017.25476</v>
      </c>
      <c r="K18" s="296">
        <f t="shared" si="3"/>
        <v>682.6148400000001</v>
      </c>
      <c r="L18" s="296">
        <f t="shared" si="4"/>
        <v>1261.3959023999998</v>
      </c>
      <c r="M18" s="296">
        <f t="shared" si="5"/>
        <v>844.1670187999999</v>
      </c>
      <c r="N18" s="296">
        <f t="shared" si="6"/>
        <v>334.14</v>
      </c>
      <c r="O18" s="296">
        <f t="shared" si="7"/>
        <v>501.21</v>
      </c>
      <c r="P18" s="304">
        <f t="shared" si="8"/>
        <v>63.74511</v>
      </c>
      <c r="Q18" s="304">
        <f t="shared" si="9"/>
        <v>254.98044</v>
      </c>
      <c r="R18" s="304">
        <f t="shared" si="10"/>
        <v>49.65171248159999</v>
      </c>
      <c r="T18" s="305"/>
      <c r="U18" s="305"/>
      <c r="W18" s="305"/>
    </row>
    <row r="19" spans="1:23" ht="15">
      <c r="A19" s="87">
        <v>10</v>
      </c>
      <c r="B19" s="224" t="s">
        <v>840</v>
      </c>
      <c r="C19" s="66">
        <f>'AT27_Req_FG_CA_Pry'!G20</f>
        <v>70391</v>
      </c>
      <c r="D19" s="66">
        <f>'AT27A_Req_FG_CA_U Pry '!G19</f>
        <v>25831</v>
      </c>
      <c r="E19" s="66">
        <f>'AT27B_Req_FG_CA_N CLP'!C19</f>
        <v>0</v>
      </c>
      <c r="F19" s="66">
        <v>2723</v>
      </c>
      <c r="G19" s="306">
        <v>2600</v>
      </c>
      <c r="H19" s="296">
        <f t="shared" si="0"/>
        <v>1787.9314000000002</v>
      </c>
      <c r="I19" s="296">
        <f t="shared" si="1"/>
        <v>984.1610999999999</v>
      </c>
      <c r="J19" s="296">
        <f t="shared" si="2"/>
        <v>357.58628000000004</v>
      </c>
      <c r="K19" s="296">
        <f t="shared" si="3"/>
        <v>196.83222</v>
      </c>
      <c r="L19" s="296">
        <f t="shared" si="4"/>
        <v>443.4069872</v>
      </c>
      <c r="M19" s="296">
        <f t="shared" si="5"/>
        <v>243.4158454</v>
      </c>
      <c r="N19" s="296">
        <f t="shared" si="6"/>
        <v>156</v>
      </c>
      <c r="O19" s="296">
        <f t="shared" si="7"/>
        <v>234</v>
      </c>
      <c r="P19" s="304">
        <f t="shared" si="8"/>
        <v>20.79069375</v>
      </c>
      <c r="Q19" s="304">
        <f t="shared" si="9"/>
        <v>83.16277500000001</v>
      </c>
      <c r="R19" s="304">
        <f t="shared" si="10"/>
        <v>17.0419734243</v>
      </c>
      <c r="T19" s="305"/>
      <c r="U19" s="305"/>
      <c r="W19" s="305"/>
    </row>
    <row r="20" spans="1:23" ht="15">
      <c r="A20" s="87">
        <v>11</v>
      </c>
      <c r="B20" s="224" t="s">
        <v>841</v>
      </c>
      <c r="C20" s="66">
        <f>'AT27_Req_FG_CA_Pry'!G21</f>
        <v>117602</v>
      </c>
      <c r="D20" s="66">
        <f>'AT27A_Req_FG_CA_U Pry '!G20</f>
        <v>50595</v>
      </c>
      <c r="E20" s="66">
        <f>'AT27B_Req_FG_CA_N CLP'!C20</f>
        <v>1022</v>
      </c>
      <c r="F20" s="66">
        <v>3659</v>
      </c>
      <c r="G20" s="306">
        <v>3429</v>
      </c>
      <c r="H20" s="296">
        <f t="shared" si="0"/>
        <v>2987.0908000000004</v>
      </c>
      <c r="I20" s="296">
        <f t="shared" si="1"/>
        <v>1975.6523999999997</v>
      </c>
      <c r="J20" s="296">
        <f t="shared" si="2"/>
        <v>597.4181600000001</v>
      </c>
      <c r="K20" s="296">
        <f t="shared" si="3"/>
        <v>395.09982</v>
      </c>
      <c r="L20" s="296">
        <f t="shared" si="4"/>
        <v>740.7985184</v>
      </c>
      <c r="M20" s="296">
        <f t="shared" si="5"/>
        <v>488.60677739999994</v>
      </c>
      <c r="N20" s="296">
        <f t="shared" si="6"/>
        <v>205.74</v>
      </c>
      <c r="O20" s="296">
        <f t="shared" si="7"/>
        <v>308.61</v>
      </c>
      <c r="P20" s="304">
        <f t="shared" si="8"/>
        <v>37.220574</v>
      </c>
      <c r="Q20" s="304">
        <f t="shared" si="9"/>
        <v>148.882296</v>
      </c>
      <c r="R20" s="304">
        <f t="shared" si="10"/>
        <v>29.1824669844</v>
      </c>
      <c r="T20" s="305"/>
      <c r="U20" s="305"/>
      <c r="W20" s="305"/>
    </row>
    <row r="21" spans="1:23" ht="15">
      <c r="A21" s="87">
        <v>12</v>
      </c>
      <c r="B21" s="224" t="s">
        <v>842</v>
      </c>
      <c r="C21" s="66">
        <f>'AT27_Req_FG_CA_Pry'!G22</f>
        <v>109975</v>
      </c>
      <c r="D21" s="66">
        <f>'AT27A_Req_FG_CA_U Pry '!G21</f>
        <v>51928</v>
      </c>
      <c r="E21" s="66">
        <f>'AT27B_Req_FG_CA_N CLP'!C21</f>
        <v>539</v>
      </c>
      <c r="F21" s="66">
        <v>3694</v>
      </c>
      <c r="G21" s="306">
        <v>3566</v>
      </c>
      <c r="H21" s="296">
        <f t="shared" si="0"/>
        <v>2793.3650000000002</v>
      </c>
      <c r="I21" s="296">
        <f t="shared" si="1"/>
        <v>2003.7628499999998</v>
      </c>
      <c r="J21" s="296">
        <f t="shared" si="2"/>
        <v>558.673</v>
      </c>
      <c r="K21" s="296">
        <f t="shared" si="3"/>
        <v>400.7364</v>
      </c>
      <c r="L21" s="296">
        <f t="shared" si="4"/>
        <v>692.75452</v>
      </c>
      <c r="M21" s="296">
        <f t="shared" si="5"/>
        <v>495.577348</v>
      </c>
      <c r="N21" s="296">
        <f t="shared" si="6"/>
        <v>213.96</v>
      </c>
      <c r="O21" s="296">
        <f t="shared" si="7"/>
        <v>320.94</v>
      </c>
      <c r="P21" s="304">
        <f t="shared" si="8"/>
        <v>35.978458875</v>
      </c>
      <c r="Q21" s="304">
        <f t="shared" si="9"/>
        <v>143.91383549999998</v>
      </c>
      <c r="R21" s="304">
        <f t="shared" si="10"/>
        <v>28.479314922750007</v>
      </c>
      <c r="T21" s="305"/>
      <c r="U21" s="305"/>
      <c r="W21" s="305"/>
    </row>
    <row r="22" spans="1:23" ht="15">
      <c r="A22" s="87">
        <v>13</v>
      </c>
      <c r="B22" s="224" t="s">
        <v>843</v>
      </c>
      <c r="C22" s="66">
        <f>'AT27_Req_FG_CA_Pry'!G23</f>
        <v>46288</v>
      </c>
      <c r="D22" s="66">
        <f>'AT27A_Req_FG_CA_U Pry '!G22</f>
        <v>24487</v>
      </c>
      <c r="E22" s="66">
        <f>'AT27B_Req_FG_CA_N CLP'!C22</f>
        <v>0</v>
      </c>
      <c r="F22" s="66">
        <v>1815</v>
      </c>
      <c r="G22" s="306">
        <v>1738</v>
      </c>
      <c r="H22" s="296">
        <f t="shared" si="0"/>
        <v>1175.7152</v>
      </c>
      <c r="I22" s="296">
        <f t="shared" si="1"/>
        <v>932.9546999999999</v>
      </c>
      <c r="J22" s="296">
        <f t="shared" si="2"/>
        <v>235.14304</v>
      </c>
      <c r="K22" s="296">
        <f t="shared" si="3"/>
        <v>186.59094000000002</v>
      </c>
      <c r="L22" s="296">
        <f t="shared" si="4"/>
        <v>291.5773696</v>
      </c>
      <c r="M22" s="296">
        <f t="shared" si="5"/>
        <v>230.7507958</v>
      </c>
      <c r="N22" s="296">
        <f t="shared" si="6"/>
        <v>104.28</v>
      </c>
      <c r="O22" s="296">
        <f t="shared" si="7"/>
        <v>156.42</v>
      </c>
      <c r="P22" s="304">
        <f t="shared" si="8"/>
        <v>15.81502425</v>
      </c>
      <c r="Q22" s="304">
        <f t="shared" si="9"/>
        <v>63.260096999999995</v>
      </c>
      <c r="R22" s="304">
        <f t="shared" si="10"/>
        <v>12.702299159699999</v>
      </c>
      <c r="T22" s="305"/>
      <c r="U22" s="305"/>
      <c r="W22" s="305"/>
    </row>
    <row r="23" spans="1:23" ht="15">
      <c r="A23" s="87">
        <v>14</v>
      </c>
      <c r="B23" s="224" t="s">
        <v>844</v>
      </c>
      <c r="C23" s="66">
        <f>'AT27_Req_FG_CA_Pry'!G24</f>
        <v>69499</v>
      </c>
      <c r="D23" s="66">
        <f>'AT27A_Req_FG_CA_U Pry '!G23</f>
        <v>33156</v>
      </c>
      <c r="E23" s="66">
        <f>'AT27B_Req_FG_CA_N CLP'!C23</f>
        <v>0</v>
      </c>
      <c r="F23" s="66">
        <v>1721</v>
      </c>
      <c r="G23" s="306">
        <v>1516</v>
      </c>
      <c r="H23" s="296">
        <f t="shared" si="0"/>
        <v>1765.2746000000002</v>
      </c>
      <c r="I23" s="296">
        <f t="shared" si="1"/>
        <v>1263.2435999999998</v>
      </c>
      <c r="J23" s="296">
        <f t="shared" si="2"/>
        <v>353.05492000000004</v>
      </c>
      <c r="K23" s="296">
        <f t="shared" si="3"/>
        <v>252.64872</v>
      </c>
      <c r="L23" s="296">
        <f t="shared" si="4"/>
        <v>437.7881008</v>
      </c>
      <c r="M23" s="296">
        <f t="shared" si="5"/>
        <v>312.4422504</v>
      </c>
      <c r="N23" s="296">
        <f t="shared" si="6"/>
        <v>90.96</v>
      </c>
      <c r="O23" s="296">
        <f t="shared" si="7"/>
        <v>136.44</v>
      </c>
      <c r="P23" s="304">
        <f t="shared" si="8"/>
        <v>22.7138865</v>
      </c>
      <c r="Q23" s="304">
        <f t="shared" si="9"/>
        <v>90.85554599999999</v>
      </c>
      <c r="R23" s="304">
        <f t="shared" si="10"/>
        <v>17.185676106600003</v>
      </c>
      <c r="T23" s="305"/>
      <c r="U23" s="305"/>
      <c r="W23" s="305"/>
    </row>
    <row r="24" spans="1:23" ht="15">
      <c r="A24" s="87">
        <v>15</v>
      </c>
      <c r="B24" s="224" t="s">
        <v>845</v>
      </c>
      <c r="C24" s="66">
        <f>'AT27_Req_FG_CA_Pry'!G25</f>
        <v>113594</v>
      </c>
      <c r="D24" s="66">
        <f>'AT27A_Req_FG_CA_U Pry '!G24</f>
        <v>50026</v>
      </c>
      <c r="E24" s="66">
        <f>'AT27B_Req_FG_CA_N CLP'!C24</f>
        <v>0</v>
      </c>
      <c r="F24" s="66">
        <v>4213</v>
      </c>
      <c r="G24" s="306">
        <v>4340</v>
      </c>
      <c r="H24" s="296">
        <f t="shared" si="0"/>
        <v>2885.2876</v>
      </c>
      <c r="I24" s="296">
        <f t="shared" si="1"/>
        <v>1905.9905999999999</v>
      </c>
      <c r="J24" s="296">
        <f t="shared" si="2"/>
        <v>577.0575200000001</v>
      </c>
      <c r="K24" s="296">
        <f t="shared" si="3"/>
        <v>381.19812</v>
      </c>
      <c r="L24" s="296">
        <f t="shared" si="4"/>
        <v>715.5513248000001</v>
      </c>
      <c r="M24" s="296">
        <f t="shared" si="5"/>
        <v>471.4150084</v>
      </c>
      <c r="N24" s="296">
        <f t="shared" si="6"/>
        <v>260.4</v>
      </c>
      <c r="O24" s="296">
        <f t="shared" si="7"/>
        <v>390.6</v>
      </c>
      <c r="P24" s="304">
        <f t="shared" si="8"/>
        <v>35.9345865</v>
      </c>
      <c r="Q24" s="304">
        <f t="shared" si="9"/>
        <v>143.738346</v>
      </c>
      <c r="R24" s="304">
        <f t="shared" si="10"/>
        <v>29.286706782600007</v>
      </c>
      <c r="T24" s="305"/>
      <c r="U24" s="305"/>
      <c r="W24" s="305"/>
    </row>
    <row r="25" spans="1:23" ht="15">
      <c r="A25" s="87">
        <v>16</v>
      </c>
      <c r="B25" s="224" t="s">
        <v>846</v>
      </c>
      <c r="C25" s="66">
        <f>'AT27_Req_FG_CA_Pry'!G26</f>
        <v>185797</v>
      </c>
      <c r="D25" s="66">
        <f>'AT27A_Req_FG_CA_U Pry '!G25</f>
        <v>70717</v>
      </c>
      <c r="E25" s="66">
        <f>'AT27B_Req_FG_CA_N CLP'!C25</f>
        <v>0</v>
      </c>
      <c r="F25" s="66">
        <v>7059</v>
      </c>
      <c r="G25" s="306">
        <v>6995</v>
      </c>
      <c r="H25" s="296">
        <f t="shared" si="0"/>
        <v>4719.2438</v>
      </c>
      <c r="I25" s="296">
        <f t="shared" si="1"/>
        <v>2694.3176999999996</v>
      </c>
      <c r="J25" s="296">
        <f t="shared" si="2"/>
        <v>943.8487600000001</v>
      </c>
      <c r="K25" s="296">
        <f t="shared" si="3"/>
        <v>538.8635400000001</v>
      </c>
      <c r="L25" s="296">
        <f t="shared" si="4"/>
        <v>1170.3724624</v>
      </c>
      <c r="M25" s="296">
        <f t="shared" si="5"/>
        <v>666.3945778</v>
      </c>
      <c r="N25" s="296">
        <f t="shared" si="6"/>
        <v>419.7</v>
      </c>
      <c r="O25" s="296">
        <f t="shared" si="7"/>
        <v>629.55</v>
      </c>
      <c r="P25" s="304">
        <f t="shared" si="8"/>
        <v>55.601711249999994</v>
      </c>
      <c r="Q25" s="304">
        <f t="shared" si="9"/>
        <v>222.406845</v>
      </c>
      <c r="R25" s="304">
        <f t="shared" si="10"/>
        <v>45.620560736099996</v>
      </c>
      <c r="T25" s="305"/>
      <c r="U25" s="305"/>
      <c r="W25" s="305"/>
    </row>
    <row r="26" spans="1:23" ht="15">
      <c r="A26" s="87">
        <v>17</v>
      </c>
      <c r="B26" s="224" t="s">
        <v>847</v>
      </c>
      <c r="C26" s="66">
        <f>'AT27_Req_FG_CA_Pry'!G27</f>
        <v>127781</v>
      </c>
      <c r="D26" s="66">
        <f>'AT27A_Req_FG_CA_U Pry '!G26</f>
        <v>53754</v>
      </c>
      <c r="E26" s="66">
        <f>'AT27B_Req_FG_CA_N CLP'!C26</f>
        <v>0</v>
      </c>
      <c r="F26" s="66">
        <v>4015</v>
      </c>
      <c r="G26" s="306">
        <v>3993</v>
      </c>
      <c r="H26" s="296">
        <f t="shared" si="0"/>
        <v>3245.6374</v>
      </c>
      <c r="I26" s="296">
        <f t="shared" si="1"/>
        <v>2048.0274</v>
      </c>
      <c r="J26" s="296">
        <f t="shared" si="2"/>
        <v>649.1274800000001</v>
      </c>
      <c r="K26" s="296">
        <f t="shared" si="3"/>
        <v>409.60548</v>
      </c>
      <c r="L26" s="296">
        <f t="shared" si="4"/>
        <v>804.9180752</v>
      </c>
      <c r="M26" s="296">
        <f t="shared" si="5"/>
        <v>506.5454436</v>
      </c>
      <c r="N26" s="296">
        <f t="shared" si="6"/>
        <v>239.58</v>
      </c>
      <c r="O26" s="296">
        <f t="shared" si="7"/>
        <v>359.37</v>
      </c>
      <c r="P26" s="304">
        <f t="shared" si="8"/>
        <v>39.702486</v>
      </c>
      <c r="Q26" s="304">
        <f t="shared" si="9"/>
        <v>158.80994400000003</v>
      </c>
      <c r="R26" s="304">
        <f t="shared" si="10"/>
        <v>31.4920070784</v>
      </c>
      <c r="T26" s="305"/>
      <c r="U26" s="305"/>
      <c r="W26" s="305"/>
    </row>
    <row r="27" spans="1:23" ht="15">
      <c r="A27" s="87">
        <v>18</v>
      </c>
      <c r="B27" s="224" t="s">
        <v>848</v>
      </c>
      <c r="C27" s="66">
        <f>'AT27_Req_FG_CA_Pry'!G28</f>
        <v>97608</v>
      </c>
      <c r="D27" s="66">
        <f>'AT27A_Req_FG_CA_U Pry '!G27</f>
        <v>50080</v>
      </c>
      <c r="E27" s="66">
        <f>'AT27B_Req_FG_CA_N CLP'!C27</f>
        <v>0</v>
      </c>
      <c r="F27" s="66">
        <v>4002</v>
      </c>
      <c r="G27" s="306">
        <v>3861</v>
      </c>
      <c r="H27" s="296">
        <f t="shared" si="0"/>
        <v>2479.2432</v>
      </c>
      <c r="I27" s="296">
        <f t="shared" si="1"/>
        <v>1908.0479999999998</v>
      </c>
      <c r="J27" s="296">
        <f t="shared" si="2"/>
        <v>495.84864000000005</v>
      </c>
      <c r="K27" s="296">
        <f t="shared" si="3"/>
        <v>381.6096</v>
      </c>
      <c r="L27" s="296">
        <f t="shared" si="4"/>
        <v>614.8523136</v>
      </c>
      <c r="M27" s="296">
        <f t="shared" si="5"/>
        <v>471.923872</v>
      </c>
      <c r="N27" s="296">
        <f t="shared" si="6"/>
        <v>231.66</v>
      </c>
      <c r="O27" s="296">
        <f t="shared" si="7"/>
        <v>347.49</v>
      </c>
      <c r="P27" s="304">
        <f t="shared" si="8"/>
        <v>32.904683999999996</v>
      </c>
      <c r="Q27" s="304">
        <f t="shared" si="9"/>
        <v>131.61873599999998</v>
      </c>
      <c r="R27" s="304">
        <f t="shared" si="10"/>
        <v>26.693272900800004</v>
      </c>
      <c r="T27" s="305"/>
      <c r="U27" s="305"/>
      <c r="W27" s="305"/>
    </row>
    <row r="28" spans="1:23" ht="15">
      <c r="A28" s="87">
        <v>19</v>
      </c>
      <c r="B28" s="224" t="s">
        <v>849</v>
      </c>
      <c r="C28" s="66">
        <f>'AT27_Req_FG_CA_Pry'!G29</f>
        <v>100406</v>
      </c>
      <c r="D28" s="66">
        <f>'AT27A_Req_FG_CA_U Pry '!G28</f>
        <v>36796</v>
      </c>
      <c r="E28" s="66">
        <f>'AT27B_Req_FG_CA_N CLP'!C28</f>
        <v>804</v>
      </c>
      <c r="F28" s="66">
        <v>4858</v>
      </c>
      <c r="G28" s="306">
        <v>4640</v>
      </c>
      <c r="H28" s="296">
        <f t="shared" si="0"/>
        <v>2550.3124000000003</v>
      </c>
      <c r="I28" s="296">
        <f t="shared" si="1"/>
        <v>1439.6754</v>
      </c>
      <c r="J28" s="296">
        <f t="shared" si="2"/>
        <v>510.06248000000005</v>
      </c>
      <c r="K28" s="296">
        <f t="shared" si="3"/>
        <v>287.91096</v>
      </c>
      <c r="L28" s="296">
        <f t="shared" si="4"/>
        <v>632.4774752</v>
      </c>
      <c r="M28" s="296">
        <f t="shared" si="5"/>
        <v>356.04988720000006</v>
      </c>
      <c r="N28" s="296">
        <f t="shared" si="6"/>
        <v>278.4</v>
      </c>
      <c r="O28" s="296">
        <f t="shared" si="7"/>
        <v>417.6</v>
      </c>
      <c r="P28" s="304">
        <f t="shared" si="8"/>
        <v>29.924908500000004</v>
      </c>
      <c r="Q28" s="304">
        <f t="shared" si="9"/>
        <v>119.699634</v>
      </c>
      <c r="R28" s="304">
        <f t="shared" si="10"/>
        <v>25.497934288200003</v>
      </c>
      <c r="T28" s="305"/>
      <c r="U28" s="305"/>
      <c r="W28" s="305"/>
    </row>
    <row r="29" spans="1:23" ht="15">
      <c r="A29" s="87">
        <v>20</v>
      </c>
      <c r="B29" s="224" t="s">
        <v>850</v>
      </c>
      <c r="C29" s="66">
        <f>'AT27_Req_FG_CA_Pry'!G30</f>
        <v>61852</v>
      </c>
      <c r="D29" s="66">
        <f>'AT27A_Req_FG_CA_U Pry '!G29</f>
        <v>25577</v>
      </c>
      <c r="E29" s="66">
        <f>'AT27B_Req_FG_CA_N CLP'!C29</f>
        <v>0</v>
      </c>
      <c r="F29" s="66">
        <v>2470</v>
      </c>
      <c r="G29" s="306">
        <v>2237</v>
      </c>
      <c r="H29" s="296">
        <f t="shared" si="0"/>
        <v>1571.0408</v>
      </c>
      <c r="I29" s="296">
        <f t="shared" si="1"/>
        <v>974.4836999999999</v>
      </c>
      <c r="J29" s="296">
        <f t="shared" si="2"/>
        <v>314.20816</v>
      </c>
      <c r="K29" s="296">
        <f t="shared" si="3"/>
        <v>194.89674</v>
      </c>
      <c r="L29" s="296">
        <f t="shared" si="4"/>
        <v>389.61811839999996</v>
      </c>
      <c r="M29" s="296">
        <f t="shared" si="5"/>
        <v>241.0223018</v>
      </c>
      <c r="N29" s="296">
        <f t="shared" si="6"/>
        <v>134.22</v>
      </c>
      <c r="O29" s="296">
        <f t="shared" si="7"/>
        <v>201.33</v>
      </c>
      <c r="P29" s="304">
        <f t="shared" si="8"/>
        <v>19.09143375</v>
      </c>
      <c r="Q29" s="304">
        <f t="shared" si="9"/>
        <v>76.365735</v>
      </c>
      <c r="R29" s="304">
        <f t="shared" si="10"/>
        <v>15.485716601100002</v>
      </c>
      <c r="T29" s="305"/>
      <c r="U29" s="305"/>
      <c r="W29" s="305"/>
    </row>
    <row r="30" spans="1:23" ht="15">
      <c r="A30" s="87">
        <v>21</v>
      </c>
      <c r="B30" s="224" t="s">
        <v>851</v>
      </c>
      <c r="C30" s="66">
        <f>'AT27_Req_FG_CA_Pry'!G31</f>
        <v>100490</v>
      </c>
      <c r="D30" s="66">
        <f>'AT27A_Req_FG_CA_U Pry '!G30</f>
        <v>29558</v>
      </c>
      <c r="E30" s="66">
        <f>'AT27B_Req_FG_CA_N CLP'!C30</f>
        <v>350</v>
      </c>
      <c r="F30" s="66">
        <v>3358</v>
      </c>
      <c r="G30" s="306">
        <v>3322</v>
      </c>
      <c r="H30" s="296">
        <f t="shared" si="0"/>
        <v>2552.4460000000004</v>
      </c>
      <c r="I30" s="296">
        <f t="shared" si="1"/>
        <v>1142.5922999999998</v>
      </c>
      <c r="J30" s="296">
        <f t="shared" si="2"/>
        <v>510.48920000000004</v>
      </c>
      <c r="K30" s="296">
        <f t="shared" si="3"/>
        <v>228.50796000000003</v>
      </c>
      <c r="L30" s="296">
        <f t="shared" si="4"/>
        <v>633.0066079999999</v>
      </c>
      <c r="M30" s="296">
        <f t="shared" si="5"/>
        <v>282.58817719999996</v>
      </c>
      <c r="N30" s="296">
        <f t="shared" si="6"/>
        <v>199.32</v>
      </c>
      <c r="O30" s="296">
        <f t="shared" si="7"/>
        <v>298.98</v>
      </c>
      <c r="P30" s="304">
        <f t="shared" si="8"/>
        <v>27.71278725</v>
      </c>
      <c r="Q30" s="304">
        <f t="shared" si="9"/>
        <v>110.851149</v>
      </c>
      <c r="R30" s="304">
        <f t="shared" si="10"/>
        <v>22.562616986100004</v>
      </c>
      <c r="T30" s="305"/>
      <c r="U30" s="305"/>
      <c r="W30" s="305"/>
    </row>
    <row r="31" spans="1:23" ht="15">
      <c r="A31" s="87">
        <v>22</v>
      </c>
      <c r="B31" s="224" t="s">
        <v>852</v>
      </c>
      <c r="C31" s="66">
        <f>'AT27_Req_FG_CA_Pry'!G32</f>
        <v>77270</v>
      </c>
      <c r="D31" s="66">
        <f>'AT27A_Req_FG_CA_U Pry '!G31</f>
        <v>25247</v>
      </c>
      <c r="E31" s="66">
        <f>'AT27B_Req_FG_CA_N CLP'!C31</f>
        <v>412</v>
      </c>
      <c r="F31" s="66">
        <v>2297</v>
      </c>
      <c r="G31" s="306">
        <v>2030</v>
      </c>
      <c r="H31" s="296">
        <f t="shared" si="0"/>
        <v>1962.6580000000001</v>
      </c>
      <c r="I31" s="296">
        <f t="shared" si="1"/>
        <v>981.2540999999999</v>
      </c>
      <c r="J31" s="296">
        <f t="shared" si="2"/>
        <v>392.5316</v>
      </c>
      <c r="K31" s="296">
        <f t="shared" si="3"/>
        <v>196.23846</v>
      </c>
      <c r="L31" s="296">
        <f t="shared" si="4"/>
        <v>486.73918399999997</v>
      </c>
      <c r="M31" s="296">
        <f t="shared" si="5"/>
        <v>242.6815622</v>
      </c>
      <c r="N31" s="296">
        <f t="shared" si="6"/>
        <v>121.8</v>
      </c>
      <c r="O31" s="296">
        <f t="shared" si="7"/>
        <v>182.7</v>
      </c>
      <c r="P31" s="304">
        <f t="shared" si="8"/>
        <v>22.07934075</v>
      </c>
      <c r="Q31" s="304">
        <f t="shared" si="9"/>
        <v>88.31736300000001</v>
      </c>
      <c r="R31" s="304">
        <f t="shared" si="10"/>
        <v>17.3091140991</v>
      </c>
      <c r="T31" s="305"/>
      <c r="U31" s="305"/>
      <c r="W31" s="305"/>
    </row>
    <row r="32" spans="1:23" ht="15">
      <c r="A32" s="87">
        <v>23</v>
      </c>
      <c r="B32" s="224" t="s">
        <v>853</v>
      </c>
      <c r="C32" s="66">
        <f>'AT27_Req_FG_CA_Pry'!G33</f>
        <v>112598</v>
      </c>
      <c r="D32" s="66">
        <f>'AT27A_Req_FG_CA_U Pry '!G32</f>
        <v>42902</v>
      </c>
      <c r="E32" s="66">
        <f>'AT27B_Req_FG_CA_N CLP'!C32</f>
        <v>0</v>
      </c>
      <c r="F32" s="66">
        <v>3475</v>
      </c>
      <c r="G32" s="306">
        <v>3210</v>
      </c>
      <c r="H32" s="296">
        <f t="shared" si="0"/>
        <v>2859.9892</v>
      </c>
      <c r="I32" s="296">
        <f t="shared" si="1"/>
        <v>1634.5661999999998</v>
      </c>
      <c r="J32" s="296">
        <f t="shared" si="2"/>
        <v>571.99784</v>
      </c>
      <c r="K32" s="296">
        <f t="shared" si="3"/>
        <v>326.91324000000003</v>
      </c>
      <c r="L32" s="296">
        <f t="shared" si="4"/>
        <v>709.2773215999999</v>
      </c>
      <c r="M32" s="296">
        <f t="shared" si="5"/>
        <v>404.28270679999997</v>
      </c>
      <c r="N32" s="296">
        <f t="shared" si="6"/>
        <v>192.6</v>
      </c>
      <c r="O32" s="296">
        <f t="shared" si="7"/>
        <v>288.9</v>
      </c>
      <c r="P32" s="304">
        <f t="shared" si="8"/>
        <v>33.7091655</v>
      </c>
      <c r="Q32" s="304">
        <f t="shared" si="9"/>
        <v>134.83666199999996</v>
      </c>
      <c r="R32" s="304">
        <f t="shared" si="10"/>
        <v>26.5447054062</v>
      </c>
      <c r="T32" s="305"/>
      <c r="U32" s="305"/>
      <c r="W32" s="305"/>
    </row>
    <row r="33" spans="1:23" ht="15">
      <c r="A33" s="87">
        <v>24</v>
      </c>
      <c r="B33" s="224" t="s">
        <v>854</v>
      </c>
      <c r="C33" s="66">
        <f>'AT27_Req_FG_CA_Pry'!G34</f>
        <v>104821</v>
      </c>
      <c r="D33" s="66">
        <f>'AT27A_Req_FG_CA_U Pry '!G33</f>
        <v>51235</v>
      </c>
      <c r="E33" s="66">
        <f>'AT27B_Req_FG_CA_N CLP'!C33</f>
        <v>0</v>
      </c>
      <c r="F33" s="66">
        <v>4480</v>
      </c>
      <c r="G33" s="306">
        <v>4242</v>
      </c>
      <c r="H33" s="296">
        <f t="shared" si="0"/>
        <v>2662.4534000000003</v>
      </c>
      <c r="I33" s="296">
        <f t="shared" si="1"/>
        <v>1952.0534999999998</v>
      </c>
      <c r="J33" s="296">
        <f t="shared" si="2"/>
        <v>532.49068</v>
      </c>
      <c r="K33" s="296">
        <f t="shared" si="3"/>
        <v>390.4107</v>
      </c>
      <c r="L33" s="296">
        <f t="shared" si="4"/>
        <v>660.2884432</v>
      </c>
      <c r="M33" s="296">
        <f t="shared" si="5"/>
        <v>482.80789899999996</v>
      </c>
      <c r="N33" s="296">
        <f t="shared" si="6"/>
        <v>254.52</v>
      </c>
      <c r="O33" s="296">
        <f t="shared" si="7"/>
        <v>381.78</v>
      </c>
      <c r="P33" s="304">
        <f t="shared" si="8"/>
        <v>34.60880175</v>
      </c>
      <c r="Q33" s="304">
        <f t="shared" si="9"/>
        <v>138.43520700000002</v>
      </c>
      <c r="R33" s="304">
        <f t="shared" si="10"/>
        <v>28.271886317100005</v>
      </c>
      <c r="T33" s="305"/>
      <c r="U33" s="305"/>
      <c r="W33" s="305"/>
    </row>
    <row r="34" spans="1:18" s="298" customFormat="1" ht="15">
      <c r="A34" s="1032" t="s">
        <v>13</v>
      </c>
      <c r="B34" s="1032"/>
      <c r="C34" s="295">
        <f aca="true" t="shared" si="11" ref="C34:O34">SUM(C10:C33)</f>
        <v>2398065</v>
      </c>
      <c r="D34" s="295">
        <f t="shared" si="11"/>
        <v>1014800</v>
      </c>
      <c r="E34" s="295">
        <f t="shared" si="11"/>
        <v>4694</v>
      </c>
      <c r="F34" s="295">
        <f t="shared" si="11"/>
        <v>85066</v>
      </c>
      <c r="G34" s="295">
        <f t="shared" si="11"/>
        <v>81571</v>
      </c>
      <c r="H34" s="297">
        <f t="shared" si="11"/>
        <v>60910.85100000001</v>
      </c>
      <c r="I34" s="297">
        <f t="shared" si="11"/>
        <v>38884.26329999999</v>
      </c>
      <c r="J34" s="297">
        <f>SUM(J10:J33)</f>
        <v>12182.170200000002</v>
      </c>
      <c r="K34" s="297">
        <f>SUM(K10:K33)</f>
        <v>7776.711840000001</v>
      </c>
      <c r="L34" s="297">
        <f t="shared" si="11"/>
        <v>15105.891048</v>
      </c>
      <c r="M34" s="297">
        <f t="shared" si="11"/>
        <v>9617.200308799998</v>
      </c>
      <c r="N34" s="297">
        <f t="shared" si="11"/>
        <v>4894.26</v>
      </c>
      <c r="O34" s="297">
        <f t="shared" si="11"/>
        <v>7341.389999999999</v>
      </c>
      <c r="P34" s="297">
        <f>SUM(P10:P33)</f>
        <v>748.4633572500001</v>
      </c>
      <c r="Q34" s="297">
        <f>SUM(Q10:Q33)</f>
        <v>2993.8534290000002</v>
      </c>
      <c r="R34" s="307">
        <f>SUM(R10:R33)</f>
        <v>600.4740265749</v>
      </c>
    </row>
    <row r="36" spans="1:18" ht="15">
      <c r="A36" s="308" t="s">
        <v>202</v>
      </c>
      <c r="L36" s="305"/>
      <c r="O36" s="305">
        <f>L34+M34+N34+P34+Q34+R34</f>
        <v>33960.142169624894</v>
      </c>
      <c r="P36" s="65">
        <f>36282*5000/100000</f>
        <v>1814.1</v>
      </c>
      <c r="Q36" s="65">
        <v>2906.29</v>
      </c>
      <c r="R36" s="305">
        <f>SUM(O36:Q36)</f>
        <v>38680.532169624894</v>
      </c>
    </row>
    <row r="37" spans="1:11" ht="33" customHeight="1">
      <c r="A37" s="1029" t="s">
        <v>923</v>
      </c>
      <c r="B37" s="1029" t="s">
        <v>2</v>
      </c>
      <c r="C37" s="1028" t="s">
        <v>943</v>
      </c>
      <c r="D37" s="1028"/>
      <c r="E37" s="1028"/>
      <c r="F37" s="1025" t="s">
        <v>929</v>
      </c>
      <c r="G37" s="1026"/>
      <c r="H37" s="1028" t="s">
        <v>930</v>
      </c>
      <c r="I37" s="1028"/>
      <c r="J37" s="1028" t="s">
        <v>944</v>
      </c>
      <c r="K37" s="1028"/>
    </row>
    <row r="38" spans="1:16" ht="60">
      <c r="A38" s="1030"/>
      <c r="B38" s="1030"/>
      <c r="C38" s="301" t="s">
        <v>18</v>
      </c>
      <c r="D38" s="301" t="s">
        <v>19</v>
      </c>
      <c r="E38" s="301" t="s">
        <v>927</v>
      </c>
      <c r="F38" s="301" t="s">
        <v>914</v>
      </c>
      <c r="G38" s="301" t="s">
        <v>927</v>
      </c>
      <c r="H38" s="301" t="s">
        <v>18</v>
      </c>
      <c r="I38" s="301" t="s">
        <v>931</v>
      </c>
      <c r="J38" s="301" t="s">
        <v>18</v>
      </c>
      <c r="K38" s="301" t="s">
        <v>931</v>
      </c>
      <c r="P38" s="305"/>
    </row>
    <row r="39" spans="1:11" ht="15">
      <c r="A39" s="302"/>
      <c r="B39" s="302">
        <v>1</v>
      </c>
      <c r="C39" s="301">
        <v>2</v>
      </c>
      <c r="D39" s="302">
        <v>3</v>
      </c>
      <c r="E39" s="301">
        <v>4</v>
      </c>
      <c r="F39" s="302">
        <v>5</v>
      </c>
      <c r="G39" s="301">
        <v>6</v>
      </c>
      <c r="H39" s="301">
        <v>7</v>
      </c>
      <c r="I39" s="301">
        <v>8</v>
      </c>
      <c r="J39" s="301">
        <v>9</v>
      </c>
      <c r="K39" s="301">
        <v>10</v>
      </c>
    </row>
    <row r="40" spans="1:11" ht="15">
      <c r="A40" s="87">
        <v>1</v>
      </c>
      <c r="B40" s="224" t="s">
        <v>831</v>
      </c>
      <c r="C40" s="66">
        <f aca="true" t="shared" si="12" ref="C40:E63">C10</f>
        <v>138665</v>
      </c>
      <c r="D40" s="66">
        <f t="shared" si="12"/>
        <v>62866</v>
      </c>
      <c r="E40" s="66">
        <f t="shared" si="12"/>
        <v>668</v>
      </c>
      <c r="F40" s="66">
        <v>254</v>
      </c>
      <c r="G40" s="66">
        <v>312</v>
      </c>
      <c r="H40" s="296">
        <f>C40*254*1.65/100000</f>
        <v>581.145015</v>
      </c>
      <c r="I40" s="296">
        <f>D40*254*2.47/100000+E40*311*2.47/100000</f>
        <v>399.54008640000006</v>
      </c>
      <c r="J40" s="296">
        <f>(C40*127*4)/100000</f>
        <v>704.4182</v>
      </c>
      <c r="K40" s="296">
        <f>(D40*127*4/100000)+(E40*156*4/100000)</f>
        <v>323.5276</v>
      </c>
    </row>
    <row r="41" spans="1:11" ht="15">
      <c r="A41" s="87">
        <v>2</v>
      </c>
      <c r="B41" s="224" t="s">
        <v>832</v>
      </c>
      <c r="C41" s="66">
        <f t="shared" si="12"/>
        <v>53810</v>
      </c>
      <c r="D41" s="66">
        <f t="shared" si="12"/>
        <v>19405</v>
      </c>
      <c r="E41" s="66">
        <f t="shared" si="12"/>
        <v>0</v>
      </c>
      <c r="F41" s="66">
        <v>254</v>
      </c>
      <c r="G41" s="66">
        <v>312</v>
      </c>
      <c r="H41" s="296">
        <f aca="true" t="shared" si="13" ref="H41:H63">C41*254*1.65/100000</f>
        <v>225.51771</v>
      </c>
      <c r="I41" s="296">
        <f aca="true" t="shared" si="14" ref="I41:I63">D41*254*2.47/100000+E41*311*2.47/100000</f>
        <v>121.743089</v>
      </c>
      <c r="J41" s="296">
        <f aca="true" t="shared" si="15" ref="J41:J63">(C41*127*4)/100000</f>
        <v>273.3548</v>
      </c>
      <c r="K41" s="296">
        <f aca="true" t="shared" si="16" ref="K41:K63">(D41*127*4/100000)+(E41*156*4/100000)</f>
        <v>98.5774</v>
      </c>
    </row>
    <row r="42" spans="1:11" ht="15">
      <c r="A42" s="87">
        <v>3</v>
      </c>
      <c r="B42" s="224" t="s">
        <v>833</v>
      </c>
      <c r="C42" s="66">
        <f t="shared" si="12"/>
        <v>39236</v>
      </c>
      <c r="D42" s="66">
        <f t="shared" si="12"/>
        <v>15926</v>
      </c>
      <c r="E42" s="66">
        <f t="shared" si="12"/>
        <v>0</v>
      </c>
      <c r="F42" s="66">
        <v>254</v>
      </c>
      <c r="G42" s="66">
        <v>312</v>
      </c>
      <c r="H42" s="296">
        <f t="shared" si="13"/>
        <v>164.438076</v>
      </c>
      <c r="I42" s="296">
        <f t="shared" si="14"/>
        <v>99.91653880000001</v>
      </c>
      <c r="J42" s="296">
        <f t="shared" si="15"/>
        <v>199.31888</v>
      </c>
      <c r="K42" s="296">
        <f t="shared" si="16"/>
        <v>80.90408</v>
      </c>
    </row>
    <row r="43" spans="1:11" ht="15">
      <c r="A43" s="87">
        <v>4</v>
      </c>
      <c r="B43" s="224" t="s">
        <v>834</v>
      </c>
      <c r="C43" s="66">
        <f t="shared" si="12"/>
        <v>108924</v>
      </c>
      <c r="D43" s="66">
        <f t="shared" si="12"/>
        <v>41473</v>
      </c>
      <c r="E43" s="66">
        <f t="shared" si="12"/>
        <v>0</v>
      </c>
      <c r="F43" s="66">
        <v>254</v>
      </c>
      <c r="G43" s="66">
        <v>312</v>
      </c>
      <c r="H43" s="296">
        <f t="shared" si="13"/>
        <v>456.500484</v>
      </c>
      <c r="I43" s="296">
        <f t="shared" si="14"/>
        <v>260.19330740000004</v>
      </c>
      <c r="J43" s="296">
        <f t="shared" si="15"/>
        <v>553.33392</v>
      </c>
      <c r="K43" s="296">
        <f t="shared" si="16"/>
        <v>210.68284</v>
      </c>
    </row>
    <row r="44" spans="1:11" ht="15">
      <c r="A44" s="87">
        <v>5</v>
      </c>
      <c r="B44" s="224" t="s">
        <v>835</v>
      </c>
      <c r="C44" s="66">
        <f t="shared" si="12"/>
        <v>57739</v>
      </c>
      <c r="D44" s="66">
        <f t="shared" si="12"/>
        <v>22561</v>
      </c>
      <c r="E44" s="66">
        <f t="shared" si="12"/>
        <v>0</v>
      </c>
      <c r="F44" s="66">
        <v>254</v>
      </c>
      <c r="G44" s="66">
        <v>312</v>
      </c>
      <c r="H44" s="296">
        <f t="shared" si="13"/>
        <v>241.98414899999997</v>
      </c>
      <c r="I44" s="296">
        <f t="shared" si="14"/>
        <v>141.54320180000002</v>
      </c>
      <c r="J44" s="296">
        <f t="shared" si="15"/>
        <v>293.31412</v>
      </c>
      <c r="K44" s="296">
        <f t="shared" si="16"/>
        <v>114.60988</v>
      </c>
    </row>
    <row r="45" spans="1:11" ht="15">
      <c r="A45" s="87">
        <v>6</v>
      </c>
      <c r="B45" s="224" t="s">
        <v>836</v>
      </c>
      <c r="C45" s="66">
        <f t="shared" si="12"/>
        <v>91664</v>
      </c>
      <c r="D45" s="66">
        <f t="shared" si="12"/>
        <v>45139</v>
      </c>
      <c r="E45" s="66">
        <f t="shared" si="12"/>
        <v>0</v>
      </c>
      <c r="F45" s="66">
        <v>254</v>
      </c>
      <c r="G45" s="66">
        <v>312</v>
      </c>
      <c r="H45" s="296">
        <f t="shared" si="13"/>
        <v>384.163824</v>
      </c>
      <c r="I45" s="296">
        <f t="shared" si="14"/>
        <v>283.19305820000005</v>
      </c>
      <c r="J45" s="296">
        <f t="shared" si="15"/>
        <v>465.65312</v>
      </c>
      <c r="K45" s="296">
        <f t="shared" si="16"/>
        <v>229.30612</v>
      </c>
    </row>
    <row r="46" spans="1:11" ht="15">
      <c r="A46" s="87">
        <v>7</v>
      </c>
      <c r="B46" s="224" t="s">
        <v>837</v>
      </c>
      <c r="C46" s="66">
        <f t="shared" si="12"/>
        <v>67896</v>
      </c>
      <c r="D46" s="66">
        <f t="shared" si="12"/>
        <v>42623</v>
      </c>
      <c r="E46" s="66">
        <f t="shared" si="12"/>
        <v>0</v>
      </c>
      <c r="F46" s="66">
        <v>254</v>
      </c>
      <c r="G46" s="66">
        <v>312</v>
      </c>
      <c r="H46" s="296">
        <f t="shared" si="13"/>
        <v>284.55213599999996</v>
      </c>
      <c r="I46" s="296">
        <f t="shared" si="14"/>
        <v>267.4081774</v>
      </c>
      <c r="J46" s="296">
        <f t="shared" si="15"/>
        <v>344.91168</v>
      </c>
      <c r="K46" s="296">
        <f t="shared" si="16"/>
        <v>216.52484</v>
      </c>
    </row>
    <row r="47" spans="1:11" ht="15">
      <c r="A47" s="87">
        <v>8</v>
      </c>
      <c r="B47" s="224" t="s">
        <v>838</v>
      </c>
      <c r="C47" s="66">
        <f t="shared" si="12"/>
        <v>143912</v>
      </c>
      <c r="D47" s="66">
        <f t="shared" si="12"/>
        <v>53336</v>
      </c>
      <c r="E47" s="66">
        <f t="shared" si="12"/>
        <v>899</v>
      </c>
      <c r="F47" s="66">
        <v>254</v>
      </c>
      <c r="G47" s="66">
        <v>312</v>
      </c>
      <c r="H47" s="296">
        <f t="shared" si="13"/>
        <v>603.135192</v>
      </c>
      <c r="I47" s="296">
        <f t="shared" si="14"/>
        <v>341.52524510000006</v>
      </c>
      <c r="J47" s="296">
        <f t="shared" si="15"/>
        <v>731.07296</v>
      </c>
      <c r="K47" s="296">
        <f t="shared" si="16"/>
        <v>276.55664</v>
      </c>
    </row>
    <row r="48" spans="1:11" ht="15">
      <c r="A48" s="87">
        <v>9</v>
      </c>
      <c r="B48" s="224" t="s">
        <v>839</v>
      </c>
      <c r="C48" s="66">
        <f t="shared" si="12"/>
        <v>200247</v>
      </c>
      <c r="D48" s="66">
        <f t="shared" si="12"/>
        <v>89582</v>
      </c>
      <c r="E48" s="66">
        <f t="shared" si="12"/>
        <v>0</v>
      </c>
      <c r="F48" s="66">
        <v>254</v>
      </c>
      <c r="G48" s="66">
        <v>312</v>
      </c>
      <c r="H48" s="296">
        <f t="shared" si="13"/>
        <v>839.2351769999999</v>
      </c>
      <c r="I48" s="296">
        <f t="shared" si="14"/>
        <v>562.0195516</v>
      </c>
      <c r="J48" s="296">
        <f t="shared" si="15"/>
        <v>1017.25476</v>
      </c>
      <c r="K48" s="296">
        <f t="shared" si="16"/>
        <v>455.07656</v>
      </c>
    </row>
    <row r="49" spans="1:11" ht="15">
      <c r="A49" s="87">
        <v>10</v>
      </c>
      <c r="B49" s="224" t="s">
        <v>840</v>
      </c>
      <c r="C49" s="66">
        <f t="shared" si="12"/>
        <v>70391</v>
      </c>
      <c r="D49" s="66">
        <f t="shared" si="12"/>
        <v>25831</v>
      </c>
      <c r="E49" s="66">
        <f t="shared" si="12"/>
        <v>0</v>
      </c>
      <c r="F49" s="66">
        <v>254</v>
      </c>
      <c r="G49" s="66">
        <v>312</v>
      </c>
      <c r="H49" s="296">
        <f t="shared" si="13"/>
        <v>295.00868099999997</v>
      </c>
      <c r="I49" s="296">
        <f t="shared" si="14"/>
        <v>162.0585278</v>
      </c>
      <c r="J49" s="296">
        <f t="shared" si="15"/>
        <v>357.58628</v>
      </c>
      <c r="K49" s="296">
        <f t="shared" si="16"/>
        <v>131.22148</v>
      </c>
    </row>
    <row r="50" spans="1:11" ht="15">
      <c r="A50" s="87">
        <v>11</v>
      </c>
      <c r="B50" s="224" t="s">
        <v>841</v>
      </c>
      <c r="C50" s="66">
        <f t="shared" si="12"/>
        <v>117602</v>
      </c>
      <c r="D50" s="66">
        <f t="shared" si="12"/>
        <v>50595</v>
      </c>
      <c r="E50" s="66">
        <f t="shared" si="12"/>
        <v>1022</v>
      </c>
      <c r="F50" s="66">
        <v>254</v>
      </c>
      <c r="G50" s="66">
        <v>312</v>
      </c>
      <c r="H50" s="296">
        <f t="shared" si="13"/>
        <v>492.86998199999994</v>
      </c>
      <c r="I50" s="296">
        <f t="shared" si="14"/>
        <v>325.2736084</v>
      </c>
      <c r="J50" s="296">
        <f t="shared" si="15"/>
        <v>597.41816</v>
      </c>
      <c r="K50" s="296">
        <f t="shared" si="16"/>
        <v>263.39988</v>
      </c>
    </row>
    <row r="51" spans="1:11" ht="15">
      <c r="A51" s="87">
        <v>12</v>
      </c>
      <c r="B51" s="224" t="s">
        <v>842</v>
      </c>
      <c r="C51" s="66">
        <f t="shared" si="12"/>
        <v>109975</v>
      </c>
      <c r="D51" s="66">
        <f t="shared" si="12"/>
        <v>51928</v>
      </c>
      <c r="E51" s="66">
        <f t="shared" si="12"/>
        <v>539</v>
      </c>
      <c r="F51" s="66">
        <v>254</v>
      </c>
      <c r="G51" s="66">
        <v>312</v>
      </c>
      <c r="H51" s="296">
        <f t="shared" si="13"/>
        <v>460.905225</v>
      </c>
      <c r="I51" s="296">
        <f t="shared" si="14"/>
        <v>329.9263227</v>
      </c>
      <c r="J51" s="296">
        <f t="shared" si="15"/>
        <v>558.673</v>
      </c>
      <c r="K51" s="296">
        <f t="shared" si="16"/>
        <v>267.1576</v>
      </c>
    </row>
    <row r="52" spans="1:11" ht="15">
      <c r="A52" s="87">
        <v>13</v>
      </c>
      <c r="B52" s="224" t="s">
        <v>843</v>
      </c>
      <c r="C52" s="66">
        <f t="shared" si="12"/>
        <v>46288</v>
      </c>
      <c r="D52" s="66">
        <f t="shared" si="12"/>
        <v>24487</v>
      </c>
      <c r="E52" s="66">
        <f t="shared" si="12"/>
        <v>0</v>
      </c>
      <c r="F52" s="66">
        <v>254</v>
      </c>
      <c r="G52" s="66">
        <v>312</v>
      </c>
      <c r="H52" s="296">
        <f t="shared" si="13"/>
        <v>193.993008</v>
      </c>
      <c r="I52" s="296">
        <f t="shared" si="14"/>
        <v>153.6265406</v>
      </c>
      <c r="J52" s="296">
        <f t="shared" si="15"/>
        <v>235.14304</v>
      </c>
      <c r="K52" s="296">
        <f t="shared" si="16"/>
        <v>124.39396</v>
      </c>
    </row>
    <row r="53" spans="1:11" ht="15" customHeight="1">
      <c r="A53" s="87">
        <v>14</v>
      </c>
      <c r="B53" s="224" t="s">
        <v>844</v>
      </c>
      <c r="C53" s="66">
        <f t="shared" si="12"/>
        <v>69499</v>
      </c>
      <c r="D53" s="66">
        <f t="shared" si="12"/>
        <v>33156</v>
      </c>
      <c r="E53" s="66">
        <f t="shared" si="12"/>
        <v>0</v>
      </c>
      <c r="F53" s="66">
        <v>254</v>
      </c>
      <c r="G53" s="66">
        <v>312</v>
      </c>
      <c r="H53" s="296">
        <f t="shared" si="13"/>
        <v>291.270309</v>
      </c>
      <c r="I53" s="296">
        <f t="shared" si="14"/>
        <v>208.01411280000002</v>
      </c>
      <c r="J53" s="296">
        <f t="shared" si="15"/>
        <v>353.05492</v>
      </c>
      <c r="K53" s="296">
        <f t="shared" si="16"/>
        <v>168.43248</v>
      </c>
    </row>
    <row r="54" spans="1:11" ht="15">
      <c r="A54" s="87">
        <v>15</v>
      </c>
      <c r="B54" s="224" t="s">
        <v>845</v>
      </c>
      <c r="C54" s="66">
        <f t="shared" si="12"/>
        <v>113594</v>
      </c>
      <c r="D54" s="66">
        <f t="shared" si="12"/>
        <v>50026</v>
      </c>
      <c r="E54" s="66">
        <f t="shared" si="12"/>
        <v>0</v>
      </c>
      <c r="F54" s="66">
        <v>254</v>
      </c>
      <c r="G54" s="66">
        <v>312</v>
      </c>
      <c r="H54" s="296">
        <f t="shared" si="13"/>
        <v>476.072454</v>
      </c>
      <c r="I54" s="296">
        <f t="shared" si="14"/>
        <v>313.8531188</v>
      </c>
      <c r="J54" s="296">
        <f t="shared" si="15"/>
        <v>577.05752</v>
      </c>
      <c r="K54" s="296">
        <f t="shared" si="16"/>
        <v>254.13208</v>
      </c>
    </row>
    <row r="55" spans="1:11" ht="15">
      <c r="A55" s="87">
        <v>16</v>
      </c>
      <c r="B55" s="224" t="s">
        <v>846</v>
      </c>
      <c r="C55" s="66">
        <f t="shared" si="12"/>
        <v>185797</v>
      </c>
      <c r="D55" s="66">
        <f t="shared" si="12"/>
        <v>70717</v>
      </c>
      <c r="E55" s="66">
        <f t="shared" si="12"/>
        <v>0</v>
      </c>
      <c r="F55" s="66">
        <v>254</v>
      </c>
      <c r="G55" s="66">
        <v>312</v>
      </c>
      <c r="H55" s="296">
        <f t="shared" si="13"/>
        <v>778.6752270000001</v>
      </c>
      <c r="I55" s="296">
        <f t="shared" si="14"/>
        <v>443.6643146</v>
      </c>
      <c r="J55" s="296">
        <f t="shared" si="15"/>
        <v>943.84876</v>
      </c>
      <c r="K55" s="296">
        <f t="shared" si="16"/>
        <v>359.24236</v>
      </c>
    </row>
    <row r="56" spans="1:11" ht="15">
      <c r="A56" s="87">
        <v>17</v>
      </c>
      <c r="B56" s="224" t="s">
        <v>847</v>
      </c>
      <c r="C56" s="66">
        <f t="shared" si="12"/>
        <v>127781</v>
      </c>
      <c r="D56" s="66">
        <f t="shared" si="12"/>
        <v>53754</v>
      </c>
      <c r="E56" s="66">
        <f t="shared" si="12"/>
        <v>0</v>
      </c>
      <c r="F56" s="66">
        <v>254</v>
      </c>
      <c r="G56" s="66">
        <v>312</v>
      </c>
      <c r="H56" s="296">
        <f t="shared" si="13"/>
        <v>535.530171</v>
      </c>
      <c r="I56" s="296">
        <f t="shared" si="14"/>
        <v>337.24184520000006</v>
      </c>
      <c r="J56" s="296">
        <f t="shared" si="15"/>
        <v>649.12748</v>
      </c>
      <c r="K56" s="296">
        <f t="shared" si="16"/>
        <v>273.07032</v>
      </c>
    </row>
    <row r="57" spans="1:11" ht="15">
      <c r="A57" s="87">
        <v>18</v>
      </c>
      <c r="B57" s="224" t="s">
        <v>848</v>
      </c>
      <c r="C57" s="66">
        <f t="shared" si="12"/>
        <v>97608</v>
      </c>
      <c r="D57" s="66">
        <f t="shared" si="12"/>
        <v>50080</v>
      </c>
      <c r="E57" s="66">
        <f t="shared" si="12"/>
        <v>0</v>
      </c>
      <c r="F57" s="66">
        <v>254</v>
      </c>
      <c r="G57" s="66">
        <v>312</v>
      </c>
      <c r="H57" s="296">
        <f t="shared" si="13"/>
        <v>409.07512799999995</v>
      </c>
      <c r="I57" s="296">
        <f t="shared" si="14"/>
        <v>314.191904</v>
      </c>
      <c r="J57" s="296">
        <f t="shared" si="15"/>
        <v>495.84864</v>
      </c>
      <c r="K57" s="296">
        <f t="shared" si="16"/>
        <v>254.4064</v>
      </c>
    </row>
    <row r="58" spans="1:11" ht="15">
      <c r="A58" s="87">
        <v>19</v>
      </c>
      <c r="B58" s="224" t="s">
        <v>849</v>
      </c>
      <c r="C58" s="66">
        <f t="shared" si="12"/>
        <v>100406</v>
      </c>
      <c r="D58" s="66">
        <f t="shared" si="12"/>
        <v>36796</v>
      </c>
      <c r="E58" s="66">
        <f t="shared" si="12"/>
        <v>804</v>
      </c>
      <c r="F58" s="66">
        <v>254</v>
      </c>
      <c r="G58" s="66">
        <v>312</v>
      </c>
      <c r="H58" s="296">
        <f t="shared" si="13"/>
        <v>420.8015459999999</v>
      </c>
      <c r="I58" s="296">
        <f t="shared" si="14"/>
        <v>237.0268316</v>
      </c>
      <c r="J58" s="296">
        <f t="shared" si="15"/>
        <v>510.06248</v>
      </c>
      <c r="K58" s="296">
        <f t="shared" si="16"/>
        <v>191.94064</v>
      </c>
    </row>
    <row r="59" spans="1:11" ht="15">
      <c r="A59" s="87">
        <v>20</v>
      </c>
      <c r="B59" s="224" t="s">
        <v>850</v>
      </c>
      <c r="C59" s="66">
        <f t="shared" si="12"/>
        <v>61852</v>
      </c>
      <c r="D59" s="66">
        <f t="shared" si="12"/>
        <v>25577</v>
      </c>
      <c r="E59" s="66">
        <f t="shared" si="12"/>
        <v>0</v>
      </c>
      <c r="F59" s="66">
        <v>254</v>
      </c>
      <c r="G59" s="66">
        <v>312</v>
      </c>
      <c r="H59" s="296">
        <f t="shared" si="13"/>
        <v>259.221732</v>
      </c>
      <c r="I59" s="296">
        <f t="shared" si="14"/>
        <v>160.4649826</v>
      </c>
      <c r="J59" s="296">
        <f t="shared" si="15"/>
        <v>314.20816</v>
      </c>
      <c r="K59" s="296">
        <f t="shared" si="16"/>
        <v>129.93116</v>
      </c>
    </row>
    <row r="60" spans="1:11" ht="15">
      <c r="A60" s="87">
        <v>21</v>
      </c>
      <c r="B60" s="224" t="s">
        <v>851</v>
      </c>
      <c r="C60" s="66">
        <f t="shared" si="12"/>
        <v>100490</v>
      </c>
      <c r="D60" s="66">
        <f t="shared" si="12"/>
        <v>29558</v>
      </c>
      <c r="E60" s="66">
        <f t="shared" si="12"/>
        <v>350</v>
      </c>
      <c r="F60" s="66">
        <v>254</v>
      </c>
      <c r="G60" s="66">
        <v>312</v>
      </c>
      <c r="H60" s="296">
        <f t="shared" si="13"/>
        <v>421.15359</v>
      </c>
      <c r="I60" s="296">
        <f t="shared" si="14"/>
        <v>188.12957540000002</v>
      </c>
      <c r="J60" s="296">
        <f t="shared" si="15"/>
        <v>510.4892</v>
      </c>
      <c r="K60" s="296">
        <f t="shared" si="16"/>
        <v>152.33864</v>
      </c>
    </row>
    <row r="61" spans="1:11" ht="15">
      <c r="A61" s="87">
        <v>22</v>
      </c>
      <c r="B61" s="224" t="s">
        <v>852</v>
      </c>
      <c r="C61" s="66">
        <f t="shared" si="12"/>
        <v>77270</v>
      </c>
      <c r="D61" s="66">
        <f t="shared" si="12"/>
        <v>25247</v>
      </c>
      <c r="E61" s="66">
        <f t="shared" si="12"/>
        <v>412</v>
      </c>
      <c r="F61" s="66">
        <v>254</v>
      </c>
      <c r="G61" s="66">
        <v>312</v>
      </c>
      <c r="H61" s="296">
        <f t="shared" si="13"/>
        <v>323.83857</v>
      </c>
      <c r="I61" s="296">
        <f t="shared" si="14"/>
        <v>161.559489</v>
      </c>
      <c r="J61" s="296">
        <f t="shared" si="15"/>
        <v>392.5316</v>
      </c>
      <c r="K61" s="296">
        <f t="shared" si="16"/>
        <v>130.82564</v>
      </c>
    </row>
    <row r="62" spans="1:11" ht="15">
      <c r="A62" s="87">
        <v>23</v>
      </c>
      <c r="B62" s="224" t="s">
        <v>853</v>
      </c>
      <c r="C62" s="66">
        <f t="shared" si="12"/>
        <v>112598</v>
      </c>
      <c r="D62" s="66">
        <f t="shared" si="12"/>
        <v>42902</v>
      </c>
      <c r="E62" s="66">
        <f t="shared" si="12"/>
        <v>0</v>
      </c>
      <c r="F62" s="66">
        <v>254</v>
      </c>
      <c r="G62" s="66">
        <v>312</v>
      </c>
      <c r="H62" s="296">
        <f t="shared" si="13"/>
        <v>471.898218</v>
      </c>
      <c r="I62" s="296">
        <f t="shared" si="14"/>
        <v>269.1585676</v>
      </c>
      <c r="J62" s="296">
        <f t="shared" si="15"/>
        <v>571.99784</v>
      </c>
      <c r="K62" s="296">
        <f t="shared" si="16"/>
        <v>217.94216</v>
      </c>
    </row>
    <row r="63" spans="1:11" ht="15">
      <c r="A63" s="87">
        <v>24</v>
      </c>
      <c r="B63" s="224" t="s">
        <v>854</v>
      </c>
      <c r="C63" s="66">
        <f t="shared" si="12"/>
        <v>104821</v>
      </c>
      <c r="D63" s="66">
        <f t="shared" si="12"/>
        <v>51235</v>
      </c>
      <c r="E63" s="66">
        <f t="shared" si="12"/>
        <v>0</v>
      </c>
      <c r="F63" s="66">
        <v>254</v>
      </c>
      <c r="G63" s="66">
        <v>312</v>
      </c>
      <c r="H63" s="296">
        <f t="shared" si="13"/>
        <v>439.3048109999999</v>
      </c>
      <c r="I63" s="296">
        <f t="shared" si="14"/>
        <v>321.438143</v>
      </c>
      <c r="J63" s="296">
        <f t="shared" si="15"/>
        <v>532.49068</v>
      </c>
      <c r="K63" s="296">
        <f t="shared" si="16"/>
        <v>260.2738</v>
      </c>
    </row>
    <row r="64" spans="1:11" ht="15">
      <c r="A64" s="1032" t="s">
        <v>13</v>
      </c>
      <c r="B64" s="1032"/>
      <c r="C64" s="295">
        <f>SUM(C40:C63)</f>
        <v>2398065</v>
      </c>
      <c r="D64" s="295">
        <f>SUM(D40:D63)</f>
        <v>1014800</v>
      </c>
      <c r="E64" s="295">
        <f>SUM(E40:E63)</f>
        <v>4694</v>
      </c>
      <c r="F64" s="294"/>
      <c r="G64" s="294"/>
      <c r="H64" s="297">
        <f>SUM(H40:H63)</f>
        <v>10050.290415000001</v>
      </c>
      <c r="I64" s="297">
        <f>SUM(I40:I63)</f>
        <v>6402.710139800002</v>
      </c>
      <c r="J64" s="297">
        <f>SUM(J40:J63)</f>
        <v>12182.170200000002</v>
      </c>
      <c r="K64" s="297">
        <f>SUM(K40:K63)</f>
        <v>5184.474559999999</v>
      </c>
    </row>
    <row r="68" spans="1:5" ht="15">
      <c r="A68" s="994" t="s">
        <v>1</v>
      </c>
      <c r="B68" s="994" t="s">
        <v>104</v>
      </c>
      <c r="C68" s="1006" t="s">
        <v>914</v>
      </c>
      <c r="D68" s="1007"/>
      <c r="E68" s="1008"/>
    </row>
    <row r="69" spans="1:5" ht="38.25">
      <c r="A69" s="994"/>
      <c r="B69" s="994"/>
      <c r="C69" s="129" t="s">
        <v>171</v>
      </c>
      <c r="D69" s="129" t="s">
        <v>172</v>
      </c>
      <c r="E69" s="129" t="s">
        <v>13</v>
      </c>
    </row>
    <row r="70" spans="1:5" ht="15">
      <c r="A70" s="129">
        <v>1</v>
      </c>
      <c r="B70" s="129">
        <v>2</v>
      </c>
      <c r="C70" s="129">
        <v>3</v>
      </c>
      <c r="D70" s="129">
        <v>7</v>
      </c>
      <c r="E70" s="129">
        <v>8</v>
      </c>
    </row>
    <row r="71" spans="1:5" ht="15">
      <c r="A71" s="1004" t="s">
        <v>250</v>
      </c>
      <c r="B71" s="1004"/>
      <c r="C71" s="129"/>
      <c r="D71" s="129"/>
      <c r="E71" s="129"/>
    </row>
    <row r="72" spans="1:5" ht="15">
      <c r="A72" s="133">
        <v>1</v>
      </c>
      <c r="B72" s="134" t="s">
        <v>122</v>
      </c>
      <c r="C72" s="309">
        <f>Q34</f>
        <v>2993.8534290000002</v>
      </c>
      <c r="D72" s="309">
        <v>0</v>
      </c>
      <c r="E72" s="309">
        <f aca="true" t="shared" si="17" ref="E72:E77">SUM(C72:D72)</f>
        <v>2993.8534290000002</v>
      </c>
    </row>
    <row r="73" spans="1:5" ht="15">
      <c r="A73" s="133">
        <v>2</v>
      </c>
      <c r="B73" s="135" t="s">
        <v>485</v>
      </c>
      <c r="C73" s="309">
        <f>L34+M34</f>
        <v>24723.091356799996</v>
      </c>
      <c r="D73" s="309">
        <f>H64+I64</f>
        <v>16453.000554800004</v>
      </c>
      <c r="E73" s="309">
        <f t="shared" si="17"/>
        <v>41176.0919116</v>
      </c>
    </row>
    <row r="74" spans="1:5" ht="26.25">
      <c r="A74" s="133">
        <v>3</v>
      </c>
      <c r="B74" s="135" t="s">
        <v>126</v>
      </c>
      <c r="C74" s="309">
        <f>N34</f>
        <v>4894.26</v>
      </c>
      <c r="D74" s="309">
        <f>O34</f>
        <v>7341.389999999999</v>
      </c>
      <c r="E74" s="309">
        <f t="shared" si="17"/>
        <v>12235.65</v>
      </c>
    </row>
    <row r="75" spans="1:5" ht="26.25">
      <c r="A75" s="133">
        <v>4</v>
      </c>
      <c r="B75" s="135" t="s">
        <v>124</v>
      </c>
      <c r="C75" s="309">
        <f>P34</f>
        <v>748.4633572500001</v>
      </c>
      <c r="D75" s="309">
        <v>0</v>
      </c>
      <c r="E75" s="309">
        <f t="shared" si="17"/>
        <v>748.4633572500001</v>
      </c>
    </row>
    <row r="76" spans="1:5" ht="15">
      <c r="A76" s="133">
        <v>5</v>
      </c>
      <c r="B76" s="134" t="s">
        <v>125</v>
      </c>
      <c r="C76" s="309">
        <f>R34</f>
        <v>600.4740265749</v>
      </c>
      <c r="D76" s="309">
        <v>0</v>
      </c>
      <c r="E76" s="309">
        <f t="shared" si="17"/>
        <v>600.4740265749</v>
      </c>
    </row>
    <row r="77" spans="1:5" ht="15">
      <c r="A77" s="311">
        <v>6</v>
      </c>
      <c r="B77" s="298" t="s">
        <v>944</v>
      </c>
      <c r="C77" s="298">
        <v>0</v>
      </c>
      <c r="D77" s="312">
        <f>J64+K64</f>
        <v>17366.644760000003</v>
      </c>
      <c r="E77" s="298">
        <f t="shared" si="17"/>
        <v>17366.644760000003</v>
      </c>
    </row>
    <row r="78" spans="1:5" ht="15">
      <c r="A78" s="1027" t="s">
        <v>949</v>
      </c>
      <c r="B78" s="1027"/>
      <c r="C78" s="312">
        <f>C77+C76+C75+C74+C73+C72</f>
        <v>33960.142169624894</v>
      </c>
      <c r="D78" s="312">
        <f>D77+D76+D75+D74+D73+D72</f>
        <v>41161.03531480001</v>
      </c>
      <c r="E78" s="312">
        <f>E77+E76+E75+E74+E73+E72</f>
        <v>75121.17748442489</v>
      </c>
    </row>
    <row r="79" spans="1:5" ht="15">
      <c r="A79" s="1000" t="s">
        <v>251</v>
      </c>
      <c r="B79" s="1001"/>
      <c r="C79" s="1001"/>
      <c r="D79" s="1001"/>
      <c r="E79" s="1002"/>
    </row>
    <row r="80" spans="1:5" ht="15">
      <c r="A80" s="133">
        <v>6</v>
      </c>
      <c r="B80" s="134" t="s">
        <v>127</v>
      </c>
      <c r="C80" s="309">
        <v>2906.2920000000004</v>
      </c>
      <c r="D80" s="309">
        <v>1937.5280000000002</v>
      </c>
      <c r="E80" s="309">
        <f>SUM(C80:D80)</f>
        <v>4843.820000000001</v>
      </c>
    </row>
    <row r="81" spans="1:5" ht="15">
      <c r="A81" s="133">
        <v>7</v>
      </c>
      <c r="B81" s="134" t="s">
        <v>128</v>
      </c>
      <c r="C81" s="309">
        <v>1814.1</v>
      </c>
      <c r="D81" s="309">
        <v>0</v>
      </c>
      <c r="E81" s="309">
        <f>SUM(C81:D81)</f>
        <v>1814.1</v>
      </c>
    </row>
    <row r="82" spans="1:5" ht="15">
      <c r="A82" s="995" t="s">
        <v>948</v>
      </c>
      <c r="B82" s="996"/>
      <c r="C82" s="309">
        <f>C80+C81</f>
        <v>4720.392</v>
      </c>
      <c r="D82" s="309">
        <f>D80+D81</f>
        <v>1937.5280000000002</v>
      </c>
      <c r="E82" s="309">
        <f>E80+E81</f>
        <v>6657.92</v>
      </c>
    </row>
    <row r="83" spans="1:5" ht="15">
      <c r="A83" s="1033" t="s">
        <v>950</v>
      </c>
      <c r="B83" s="1033"/>
      <c r="C83" s="305">
        <f>C78+C82</f>
        <v>38680.534169624894</v>
      </c>
      <c r="D83" s="305">
        <f>D78+D82</f>
        <v>43098.563314800005</v>
      </c>
      <c r="E83" s="305">
        <f>E78+E82</f>
        <v>81779.09748442488</v>
      </c>
    </row>
  </sheetData>
  <sheetProtection/>
  <mergeCells count="32">
    <mergeCell ref="A83:B83"/>
    <mergeCell ref="A37:A38"/>
    <mergeCell ref="B37:B38"/>
    <mergeCell ref="C37:E37"/>
    <mergeCell ref="A68:A69"/>
    <mergeCell ref="B68:B69"/>
    <mergeCell ref="R6:R7"/>
    <mergeCell ref="N6:O6"/>
    <mergeCell ref="H37:I37"/>
    <mergeCell ref="A34:B34"/>
    <mergeCell ref="A79:E79"/>
    <mergeCell ref="A82:B82"/>
    <mergeCell ref="J37:K37"/>
    <mergeCell ref="J6:K6"/>
    <mergeCell ref="C68:E68"/>
    <mergeCell ref="A71:B71"/>
    <mergeCell ref="A1:R1"/>
    <mergeCell ref="A2:R2"/>
    <mergeCell ref="A3:R3"/>
    <mergeCell ref="A4:R4"/>
    <mergeCell ref="A6:A7"/>
    <mergeCell ref="A64:B64"/>
    <mergeCell ref="B6:B7"/>
    <mergeCell ref="F37:G37"/>
    <mergeCell ref="P6:P7"/>
    <mergeCell ref="Q6:Q7"/>
    <mergeCell ref="L6:M6"/>
    <mergeCell ref="A78:B78"/>
    <mergeCell ref="C6:E6"/>
    <mergeCell ref="F6:F7"/>
    <mergeCell ref="G6:G7"/>
    <mergeCell ref="H6:I6"/>
  </mergeCells>
  <printOptions horizontalCentered="1"/>
  <pageMargins left="0.25" right="0.25" top="0.75" bottom="0.75" header="0.3" footer="0.3"/>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O46"/>
  <sheetViews>
    <sheetView view="pageBreakPreview" zoomScale="85" zoomScaleNormal="90" zoomScaleSheetLayoutView="85" zoomScalePageLayoutView="0" workbookViewId="0" topLeftCell="A4">
      <selection activeCell="J31" sqref="J31"/>
    </sheetView>
  </sheetViews>
  <sheetFormatPr defaultColWidth="9.140625" defaultRowHeight="12.75"/>
  <cols>
    <col min="1" max="1" width="6.421875" style="12" customWidth="1"/>
    <col min="2" max="2" width="15.7109375" style="12" customWidth="1"/>
    <col min="3" max="3" width="18.421875" style="12" customWidth="1"/>
    <col min="4" max="4" width="21.00390625" style="12" customWidth="1"/>
    <col min="5" max="5" width="21.140625" style="12" customWidth="1"/>
    <col min="6" max="6" width="20.7109375" style="12" customWidth="1"/>
    <col min="7" max="7" width="23.57421875" style="12" customWidth="1"/>
    <col min="8" max="8" width="20.7109375" style="12" customWidth="1"/>
    <col min="9" max="9" width="9.8515625" style="12" customWidth="1"/>
    <col min="10" max="16384" width="9.140625" style="12" customWidth="1"/>
  </cols>
  <sheetData>
    <row r="1" ht="15">
      <c r="H1" s="518" t="s">
        <v>261</v>
      </c>
    </row>
    <row r="2" spans="1:8" ht="18">
      <c r="A2" s="675" t="s">
        <v>0</v>
      </c>
      <c r="B2" s="675"/>
      <c r="C2" s="675"/>
      <c r="D2" s="675"/>
      <c r="E2" s="675"/>
      <c r="F2" s="675"/>
      <c r="G2" s="675"/>
      <c r="H2" s="675"/>
    </row>
    <row r="3" spans="1:8" ht="21">
      <c r="A3" s="676" t="s">
        <v>645</v>
      </c>
      <c r="B3" s="676"/>
      <c r="C3" s="676"/>
      <c r="D3" s="676"/>
      <c r="E3" s="676"/>
      <c r="F3" s="676"/>
      <c r="G3" s="676"/>
      <c r="H3" s="676"/>
    </row>
    <row r="4" spans="1:8" ht="18" customHeight="1">
      <c r="A4" s="677" t="s">
        <v>649</v>
      </c>
      <c r="B4" s="677"/>
      <c r="C4" s="677"/>
      <c r="D4" s="677"/>
      <c r="E4" s="677"/>
      <c r="F4" s="677"/>
      <c r="G4" s="677"/>
      <c r="H4" s="677"/>
    </row>
    <row r="5" spans="1:9" ht="18" customHeight="1">
      <c r="A5" s="321"/>
      <c r="B5" s="321"/>
      <c r="C5" s="321"/>
      <c r="D5" s="321"/>
      <c r="E5" s="321"/>
      <c r="F5" s="321"/>
      <c r="G5" s="326"/>
      <c r="H5" s="326"/>
      <c r="I5" s="17"/>
    </row>
    <row r="6" spans="1:9" ht="15">
      <c r="A6" s="144" t="s">
        <v>956</v>
      </c>
      <c r="B6" s="144"/>
      <c r="G6" s="17"/>
      <c r="H6" s="17"/>
      <c r="I6" s="17"/>
    </row>
    <row r="7" spans="1:9" ht="15">
      <c r="A7" s="144"/>
      <c r="B7" s="144"/>
      <c r="G7" s="680" t="s">
        <v>959</v>
      </c>
      <c r="H7" s="680"/>
      <c r="I7" s="680"/>
    </row>
    <row r="8" spans="1:9" ht="15">
      <c r="A8" s="144"/>
      <c r="B8" s="144"/>
      <c r="G8" s="322"/>
      <c r="H8" s="322"/>
      <c r="I8" s="86"/>
    </row>
    <row r="9" spans="1:9" s="212" customFormat="1" ht="59.25" customHeight="1">
      <c r="A9" s="223" t="s">
        <v>1</v>
      </c>
      <c r="B9" s="223" t="s">
        <v>2</v>
      </c>
      <c r="C9" s="146" t="s">
        <v>263</v>
      </c>
      <c r="D9" s="146" t="s">
        <v>264</v>
      </c>
      <c r="E9" s="146" t="s">
        <v>265</v>
      </c>
      <c r="F9" s="328" t="s">
        <v>266</v>
      </c>
      <c r="G9" s="328" t="s">
        <v>267</v>
      </c>
      <c r="H9" s="328" t="s">
        <v>268</v>
      </c>
      <c r="I9" s="327"/>
    </row>
    <row r="10" spans="1:9" s="546" customFormat="1" ht="15">
      <c r="A10" s="265" t="s">
        <v>269</v>
      </c>
      <c r="B10" s="265" t="s">
        <v>270</v>
      </c>
      <c r="C10" s="265" t="s">
        <v>271</v>
      </c>
      <c r="D10" s="265" t="s">
        <v>272</v>
      </c>
      <c r="E10" s="265" t="s">
        <v>273</v>
      </c>
      <c r="F10" s="265" t="s">
        <v>274</v>
      </c>
      <c r="G10" s="265" t="s">
        <v>275</v>
      </c>
      <c r="H10" s="265" t="s">
        <v>276</v>
      </c>
      <c r="I10" s="545"/>
    </row>
    <row r="11" spans="1:9" s="518" customFormat="1" ht="15">
      <c r="A11" s="265">
        <v>1</v>
      </c>
      <c r="B11" s="224" t="s">
        <v>831</v>
      </c>
      <c r="C11" s="185">
        <f>'AT3A_cvrg(Insti)_PY'!G11</f>
        <v>1584</v>
      </c>
      <c r="D11" s="185">
        <f>'AT3C_cvrg(Insti)_UPY '!G11</f>
        <v>52</v>
      </c>
      <c r="E11" s="185">
        <f>'AT3B_cvrg(Insti)_UPY '!G11</f>
        <v>850</v>
      </c>
      <c r="F11" s="185">
        <f>SUM(C11:E11)</f>
        <v>2486</v>
      </c>
      <c r="G11" s="185">
        <f>'AT3A_cvrg(Insti)_PY'!L11+'AT3B_cvrg(Insti)_UPY '!L11+'AT3C_cvrg(Insti)_UPY '!L11</f>
        <v>2477</v>
      </c>
      <c r="H11" s="185">
        <f>F11-G11</f>
        <v>9</v>
      </c>
      <c r="I11" s="541"/>
    </row>
    <row r="12" spans="1:9" s="518" customFormat="1" ht="15">
      <c r="A12" s="265">
        <v>2</v>
      </c>
      <c r="B12" s="224" t="s">
        <v>832</v>
      </c>
      <c r="C12" s="185">
        <f>'AT3A_cvrg(Insti)_PY'!G12</f>
        <v>659</v>
      </c>
      <c r="D12" s="185">
        <f>'AT3C_cvrg(Insti)_UPY '!G12</f>
        <v>18</v>
      </c>
      <c r="E12" s="185">
        <f>'AT3B_cvrg(Insti)_UPY '!G12</f>
        <v>319</v>
      </c>
      <c r="F12" s="185">
        <f aca="true" t="shared" si="0" ref="F12:F34">SUM(C12:E12)</f>
        <v>996</v>
      </c>
      <c r="G12" s="185">
        <f>'AT3A_cvrg(Insti)_PY'!L12+'AT3B_cvrg(Insti)_UPY '!L12+'AT3C_cvrg(Insti)_UPY '!L12</f>
        <v>996</v>
      </c>
      <c r="H12" s="185">
        <f aca="true" t="shared" si="1" ref="H12:H34">F12-G12</f>
        <v>0</v>
      </c>
      <c r="I12" s="541"/>
    </row>
    <row r="13" spans="1:9" s="518" customFormat="1" ht="15">
      <c r="A13" s="265">
        <v>3</v>
      </c>
      <c r="B13" s="224" t="s">
        <v>833</v>
      </c>
      <c r="C13" s="185">
        <f>'AT3A_cvrg(Insti)_PY'!G13</f>
        <v>362</v>
      </c>
      <c r="D13" s="185">
        <f>'AT3C_cvrg(Insti)_UPY '!G13</f>
        <v>6</v>
      </c>
      <c r="E13" s="185">
        <f>'AT3B_cvrg(Insti)_UPY '!G13</f>
        <v>212</v>
      </c>
      <c r="F13" s="185">
        <f t="shared" si="0"/>
        <v>580</v>
      </c>
      <c r="G13" s="185">
        <f>'AT3A_cvrg(Insti)_PY'!L13+'AT3B_cvrg(Insti)_UPY '!L13+'AT3C_cvrg(Insti)_UPY '!L13</f>
        <v>580</v>
      </c>
      <c r="H13" s="185">
        <f t="shared" si="1"/>
        <v>0</v>
      </c>
      <c r="I13" s="541"/>
    </row>
    <row r="14" spans="1:9" s="518" customFormat="1" ht="15">
      <c r="A14" s="265">
        <v>4</v>
      </c>
      <c r="B14" s="224" t="s">
        <v>834</v>
      </c>
      <c r="C14" s="185">
        <f>'AT3A_cvrg(Insti)_PY'!G14</f>
        <v>1090</v>
      </c>
      <c r="D14" s="185">
        <f>'AT3C_cvrg(Insti)_UPY '!G14</f>
        <v>27</v>
      </c>
      <c r="E14" s="185">
        <f>'AT3B_cvrg(Insti)_UPY '!G14</f>
        <v>614</v>
      </c>
      <c r="F14" s="185">
        <f t="shared" si="0"/>
        <v>1731</v>
      </c>
      <c r="G14" s="185">
        <f>'AT3A_cvrg(Insti)_PY'!L14+'AT3B_cvrg(Insti)_UPY '!L14+'AT3C_cvrg(Insti)_UPY '!L14</f>
        <v>1731</v>
      </c>
      <c r="H14" s="185">
        <f t="shared" si="1"/>
        <v>0</v>
      </c>
      <c r="I14" s="541"/>
    </row>
    <row r="15" spans="1:8" s="518" customFormat="1" ht="15">
      <c r="A15" s="265">
        <v>5</v>
      </c>
      <c r="B15" s="224" t="s">
        <v>835</v>
      </c>
      <c r="C15" s="185">
        <f>'AT3A_cvrg(Insti)_PY'!G15</f>
        <v>661</v>
      </c>
      <c r="D15" s="185">
        <f>'AT3C_cvrg(Insti)_UPY '!G15</f>
        <v>38</v>
      </c>
      <c r="E15" s="185">
        <f>'AT3B_cvrg(Insti)_UPY '!G15</f>
        <v>379</v>
      </c>
      <c r="F15" s="185">
        <f t="shared" si="0"/>
        <v>1078</v>
      </c>
      <c r="G15" s="185">
        <f>'AT3A_cvrg(Insti)_PY'!L15+'AT3B_cvrg(Insti)_UPY '!L15+'AT3C_cvrg(Insti)_UPY '!L15</f>
        <v>1078</v>
      </c>
      <c r="H15" s="185">
        <f t="shared" si="1"/>
        <v>0</v>
      </c>
    </row>
    <row r="16" spans="1:8" s="518" customFormat="1" ht="15">
      <c r="A16" s="265">
        <v>6</v>
      </c>
      <c r="B16" s="224" t="s">
        <v>836</v>
      </c>
      <c r="C16" s="185">
        <f>'AT3A_cvrg(Insti)_PY'!G16</f>
        <v>1271</v>
      </c>
      <c r="D16" s="185">
        <f>'AT3C_cvrg(Insti)_UPY '!G16</f>
        <v>28</v>
      </c>
      <c r="E16" s="185">
        <f>'AT3B_cvrg(Insti)_UPY '!G16</f>
        <v>655</v>
      </c>
      <c r="F16" s="185">
        <f t="shared" si="0"/>
        <v>1954</v>
      </c>
      <c r="G16" s="185">
        <f>'AT3A_cvrg(Insti)_PY'!L16+'AT3B_cvrg(Insti)_UPY '!L16+'AT3C_cvrg(Insti)_UPY '!L16</f>
        <v>1954</v>
      </c>
      <c r="H16" s="185">
        <f t="shared" si="1"/>
        <v>0</v>
      </c>
    </row>
    <row r="17" spans="1:8" s="518" customFormat="1" ht="15">
      <c r="A17" s="265">
        <v>7</v>
      </c>
      <c r="B17" s="224" t="s">
        <v>837</v>
      </c>
      <c r="C17" s="185">
        <f>'AT3A_cvrg(Insti)_PY'!G17</f>
        <v>1048</v>
      </c>
      <c r="D17" s="185">
        <f>'AT3C_cvrg(Insti)_UPY '!G17</f>
        <v>9</v>
      </c>
      <c r="E17" s="185">
        <f>'AT3B_cvrg(Insti)_UPY '!G17</f>
        <v>603</v>
      </c>
      <c r="F17" s="185">
        <f t="shared" si="0"/>
        <v>1660</v>
      </c>
      <c r="G17" s="185">
        <f>'AT3A_cvrg(Insti)_PY'!L17+'AT3B_cvrg(Insti)_UPY '!L17+'AT3C_cvrg(Insti)_UPY '!L17</f>
        <v>1660</v>
      </c>
      <c r="H17" s="185">
        <f t="shared" si="1"/>
        <v>0</v>
      </c>
    </row>
    <row r="18" spans="1:8" s="518" customFormat="1" ht="15">
      <c r="A18" s="265">
        <v>8</v>
      </c>
      <c r="B18" s="224" t="s">
        <v>838</v>
      </c>
      <c r="C18" s="185">
        <f>'AT3A_cvrg(Insti)_PY'!G18</f>
        <v>1547</v>
      </c>
      <c r="D18" s="185">
        <f>'AT3C_cvrg(Insti)_UPY '!G18</f>
        <v>19</v>
      </c>
      <c r="E18" s="185">
        <f>'AT3B_cvrg(Insti)_UPY '!G18</f>
        <v>686</v>
      </c>
      <c r="F18" s="185">
        <f t="shared" si="0"/>
        <v>2252</v>
      </c>
      <c r="G18" s="185">
        <f>'AT3A_cvrg(Insti)_PY'!L18+'AT3B_cvrg(Insti)_UPY '!L18+'AT3C_cvrg(Insti)_UPY '!L18</f>
        <v>2252</v>
      </c>
      <c r="H18" s="185">
        <f t="shared" si="1"/>
        <v>0</v>
      </c>
    </row>
    <row r="19" spans="1:8" s="518" customFormat="1" ht="15">
      <c r="A19" s="265">
        <v>9</v>
      </c>
      <c r="B19" s="224" t="s">
        <v>839</v>
      </c>
      <c r="C19" s="185">
        <f>'AT3A_cvrg(Insti)_PY'!G19</f>
        <v>1275</v>
      </c>
      <c r="D19" s="185">
        <f>'AT3C_cvrg(Insti)_UPY '!G19</f>
        <v>3</v>
      </c>
      <c r="E19" s="185">
        <f>'AT3B_cvrg(Insti)_UPY '!G19</f>
        <v>1296</v>
      </c>
      <c r="F19" s="185">
        <f t="shared" si="0"/>
        <v>2574</v>
      </c>
      <c r="G19" s="185">
        <f>'AT3A_cvrg(Insti)_PY'!L19+'AT3B_cvrg(Insti)_UPY '!L19+'AT3C_cvrg(Insti)_UPY '!L19</f>
        <v>2574</v>
      </c>
      <c r="H19" s="185">
        <f t="shared" si="1"/>
        <v>0</v>
      </c>
    </row>
    <row r="20" spans="1:8" s="518" customFormat="1" ht="15">
      <c r="A20" s="265">
        <v>10</v>
      </c>
      <c r="B20" s="224" t="s">
        <v>840</v>
      </c>
      <c r="C20" s="185">
        <f>'AT3A_cvrg(Insti)_PY'!G20</f>
        <v>743</v>
      </c>
      <c r="D20" s="185">
        <f>'AT3C_cvrg(Insti)_UPY '!G20</f>
        <v>8</v>
      </c>
      <c r="E20" s="185">
        <f>'AT3B_cvrg(Insti)_UPY '!G20</f>
        <v>424</v>
      </c>
      <c r="F20" s="185">
        <f t="shared" si="0"/>
        <v>1175</v>
      </c>
      <c r="G20" s="185">
        <f>'AT3A_cvrg(Insti)_PY'!L20+'AT3B_cvrg(Insti)_UPY '!L20+'AT3C_cvrg(Insti)_UPY '!L20</f>
        <v>1175</v>
      </c>
      <c r="H20" s="185">
        <f t="shared" si="1"/>
        <v>0</v>
      </c>
    </row>
    <row r="21" spans="1:8" s="518" customFormat="1" ht="15">
      <c r="A21" s="265">
        <v>11</v>
      </c>
      <c r="B21" s="224" t="s">
        <v>841</v>
      </c>
      <c r="C21" s="185">
        <f>'AT3A_cvrg(Insti)_PY'!G21</f>
        <v>1025</v>
      </c>
      <c r="D21" s="185">
        <f>'AT3C_cvrg(Insti)_UPY '!G21</f>
        <v>0</v>
      </c>
      <c r="E21" s="185">
        <f>'AT3B_cvrg(Insti)_UPY '!G21</f>
        <v>508</v>
      </c>
      <c r="F21" s="185">
        <f t="shared" si="0"/>
        <v>1533</v>
      </c>
      <c r="G21" s="185">
        <f>'AT3A_cvrg(Insti)_PY'!L21+'AT3B_cvrg(Insti)_UPY '!L21+'AT3C_cvrg(Insti)_UPY '!L21</f>
        <v>1533</v>
      </c>
      <c r="H21" s="185">
        <f t="shared" si="1"/>
        <v>0</v>
      </c>
    </row>
    <row r="22" spans="1:8" s="518" customFormat="1" ht="15">
      <c r="A22" s="265">
        <v>12</v>
      </c>
      <c r="B22" s="224" t="s">
        <v>842</v>
      </c>
      <c r="C22" s="185">
        <f>'AT3A_cvrg(Insti)_PY'!G22</f>
        <v>1009</v>
      </c>
      <c r="D22" s="185">
        <f>'AT3C_cvrg(Insti)_UPY '!G22</f>
        <v>11</v>
      </c>
      <c r="E22" s="185">
        <f>'AT3B_cvrg(Insti)_UPY '!G22</f>
        <v>579</v>
      </c>
      <c r="F22" s="185">
        <f t="shared" si="0"/>
        <v>1599</v>
      </c>
      <c r="G22" s="185">
        <f>'AT3A_cvrg(Insti)_PY'!L22+'AT3B_cvrg(Insti)_UPY '!L22+'AT3C_cvrg(Insti)_UPY '!L22</f>
        <v>1597</v>
      </c>
      <c r="H22" s="185">
        <f t="shared" si="1"/>
        <v>2</v>
      </c>
    </row>
    <row r="23" spans="1:8" s="518" customFormat="1" ht="15">
      <c r="A23" s="265">
        <v>13</v>
      </c>
      <c r="B23" s="224" t="s">
        <v>843</v>
      </c>
      <c r="C23" s="185">
        <f>'AT3A_cvrg(Insti)_PY'!G23</f>
        <v>443</v>
      </c>
      <c r="D23" s="185">
        <f>'AT3C_cvrg(Insti)_UPY '!G23</f>
        <v>0</v>
      </c>
      <c r="E23" s="185">
        <f>'AT3B_cvrg(Insti)_UPY '!G23</f>
        <v>257</v>
      </c>
      <c r="F23" s="185">
        <f t="shared" si="0"/>
        <v>700</v>
      </c>
      <c r="G23" s="185">
        <f>'AT3A_cvrg(Insti)_PY'!L23+'AT3B_cvrg(Insti)_UPY '!L23+'AT3C_cvrg(Insti)_UPY '!L23</f>
        <v>700</v>
      </c>
      <c r="H23" s="185">
        <f t="shared" si="1"/>
        <v>0</v>
      </c>
    </row>
    <row r="24" spans="1:8" s="518" customFormat="1" ht="15">
      <c r="A24" s="265">
        <v>14</v>
      </c>
      <c r="B24" s="224" t="s">
        <v>844</v>
      </c>
      <c r="C24" s="185">
        <f>'AT3A_cvrg(Insti)_PY'!G24</f>
        <v>406</v>
      </c>
      <c r="D24" s="185">
        <f>'AT3C_cvrg(Insti)_UPY '!G24</f>
        <v>3</v>
      </c>
      <c r="E24" s="185">
        <f>'AT3B_cvrg(Insti)_UPY '!G24</f>
        <v>314</v>
      </c>
      <c r="F24" s="185">
        <f t="shared" si="0"/>
        <v>723</v>
      </c>
      <c r="G24" s="185">
        <f>'AT3A_cvrg(Insti)_PY'!L24+'AT3B_cvrg(Insti)_UPY '!L24+'AT3C_cvrg(Insti)_UPY '!L24</f>
        <v>723</v>
      </c>
      <c r="H24" s="185">
        <f t="shared" si="1"/>
        <v>0</v>
      </c>
    </row>
    <row r="25" spans="1:8" s="518" customFormat="1" ht="15">
      <c r="A25" s="265">
        <v>15</v>
      </c>
      <c r="B25" s="224" t="s">
        <v>845</v>
      </c>
      <c r="C25" s="185">
        <f>'AT3A_cvrg(Insti)_PY'!G25</f>
        <v>1083</v>
      </c>
      <c r="D25" s="185">
        <f>'AT3C_cvrg(Insti)_UPY '!G25</f>
        <v>2</v>
      </c>
      <c r="E25" s="185">
        <f>'AT3B_cvrg(Insti)_UPY '!G25</f>
        <v>709</v>
      </c>
      <c r="F25" s="185">
        <f t="shared" si="0"/>
        <v>1794</v>
      </c>
      <c r="G25" s="185">
        <f>'AT3A_cvrg(Insti)_PY'!L25+'AT3B_cvrg(Insti)_UPY '!L25+'AT3C_cvrg(Insti)_UPY '!L25</f>
        <v>1794</v>
      </c>
      <c r="H25" s="185">
        <f t="shared" si="1"/>
        <v>0</v>
      </c>
    </row>
    <row r="26" spans="1:8" s="518" customFormat="1" ht="15">
      <c r="A26" s="265">
        <v>16</v>
      </c>
      <c r="B26" s="224" t="s">
        <v>846</v>
      </c>
      <c r="C26" s="185">
        <f>'AT3A_cvrg(Insti)_PY'!G26</f>
        <v>2066</v>
      </c>
      <c r="D26" s="185">
        <f>'AT3C_cvrg(Insti)_UPY '!G26</f>
        <v>14</v>
      </c>
      <c r="E26" s="185">
        <f>'AT3B_cvrg(Insti)_UPY '!G26</f>
        <v>1282</v>
      </c>
      <c r="F26" s="185">
        <f t="shared" si="0"/>
        <v>3362</v>
      </c>
      <c r="G26" s="185">
        <f>'AT3A_cvrg(Insti)_PY'!L26+'AT3B_cvrg(Insti)_UPY '!L26+'AT3C_cvrg(Insti)_UPY '!L26</f>
        <v>3359</v>
      </c>
      <c r="H26" s="185">
        <f t="shared" si="1"/>
        <v>3</v>
      </c>
    </row>
    <row r="27" spans="1:8" ht="15">
      <c r="A27" s="265">
        <v>2</v>
      </c>
      <c r="B27" s="224" t="s">
        <v>847</v>
      </c>
      <c r="C27" s="185">
        <f>'AT3A_cvrg(Insti)_PY'!G27</f>
        <v>1218</v>
      </c>
      <c r="D27" s="185">
        <f>'AT3C_cvrg(Insti)_UPY '!G27</f>
        <v>2</v>
      </c>
      <c r="E27" s="185">
        <f>'AT3B_cvrg(Insti)_UPY '!G27</f>
        <v>612</v>
      </c>
      <c r="F27" s="185">
        <f t="shared" si="0"/>
        <v>1832</v>
      </c>
      <c r="G27" s="185">
        <f>'AT3A_cvrg(Insti)_PY'!L27+'AT3B_cvrg(Insti)_UPY '!L27+'AT3C_cvrg(Insti)_UPY '!L27</f>
        <v>1832</v>
      </c>
      <c r="H27" s="185">
        <f t="shared" si="1"/>
        <v>0</v>
      </c>
    </row>
    <row r="28" spans="1:8" ht="15">
      <c r="A28" s="265">
        <v>18</v>
      </c>
      <c r="B28" s="224" t="s">
        <v>848</v>
      </c>
      <c r="C28" s="185">
        <f>'AT3A_cvrg(Insti)_PY'!G28</f>
        <v>1171</v>
      </c>
      <c r="D28" s="185">
        <f>'AT3C_cvrg(Insti)_UPY '!G28</f>
        <v>2</v>
      </c>
      <c r="E28" s="185">
        <f>'AT3B_cvrg(Insti)_UPY '!G28</f>
        <v>557</v>
      </c>
      <c r="F28" s="185">
        <f t="shared" si="0"/>
        <v>1730</v>
      </c>
      <c r="G28" s="185">
        <f>'AT3A_cvrg(Insti)_PY'!L28+'AT3B_cvrg(Insti)_UPY '!L28+'AT3C_cvrg(Insti)_UPY '!L28</f>
        <v>1730</v>
      </c>
      <c r="H28" s="185">
        <f t="shared" si="1"/>
        <v>0</v>
      </c>
    </row>
    <row r="29" spans="1:8" ht="15">
      <c r="A29" s="265">
        <v>19</v>
      </c>
      <c r="B29" s="224" t="s">
        <v>849</v>
      </c>
      <c r="C29" s="185">
        <f>'AT3A_cvrg(Insti)_PY'!G29</f>
        <v>1676</v>
      </c>
      <c r="D29" s="185">
        <f>'AT3C_cvrg(Insti)_UPY '!G29</f>
        <v>9</v>
      </c>
      <c r="E29" s="185">
        <f>'AT3B_cvrg(Insti)_UPY '!G29</f>
        <v>812</v>
      </c>
      <c r="F29" s="185">
        <f t="shared" si="0"/>
        <v>2497</v>
      </c>
      <c r="G29" s="185">
        <f>'AT3A_cvrg(Insti)_PY'!L29+'AT3B_cvrg(Insti)_UPY '!L29+'AT3C_cvrg(Insti)_UPY '!L29</f>
        <v>2497</v>
      </c>
      <c r="H29" s="185">
        <f t="shared" si="1"/>
        <v>0</v>
      </c>
    </row>
    <row r="30" spans="1:8" ht="15">
      <c r="A30" s="265">
        <v>20</v>
      </c>
      <c r="B30" s="224" t="s">
        <v>850</v>
      </c>
      <c r="C30" s="185">
        <f>'AT3A_cvrg(Insti)_PY'!G30</f>
        <v>718</v>
      </c>
      <c r="D30" s="185">
        <f>'AT3C_cvrg(Insti)_UPY '!G30</f>
        <v>3</v>
      </c>
      <c r="E30" s="185">
        <f>'AT3B_cvrg(Insti)_UPY '!G30</f>
        <v>445</v>
      </c>
      <c r="F30" s="185">
        <f t="shared" si="0"/>
        <v>1166</v>
      </c>
      <c r="G30" s="185">
        <f>'AT3A_cvrg(Insti)_PY'!L30+'AT3B_cvrg(Insti)_UPY '!L30+'AT3C_cvrg(Insti)_UPY '!L30</f>
        <v>1166</v>
      </c>
      <c r="H30" s="185">
        <f t="shared" si="1"/>
        <v>0</v>
      </c>
    </row>
    <row r="31" spans="1:8" ht="15">
      <c r="A31" s="265">
        <v>21</v>
      </c>
      <c r="B31" s="224" t="s">
        <v>851</v>
      </c>
      <c r="C31" s="185">
        <f>'AT3A_cvrg(Insti)_PY'!G31</f>
        <v>896</v>
      </c>
      <c r="D31" s="185">
        <f>'AT3C_cvrg(Insti)_UPY '!G31</f>
        <v>4</v>
      </c>
      <c r="E31" s="185">
        <f>'AT3B_cvrg(Insti)_UPY '!G31</f>
        <v>538</v>
      </c>
      <c r="F31" s="185">
        <f t="shared" si="0"/>
        <v>1438</v>
      </c>
      <c r="G31" s="185">
        <f>'AT3A_cvrg(Insti)_PY'!L31+'AT3B_cvrg(Insti)_UPY '!L31+'AT3C_cvrg(Insti)_UPY '!L31</f>
        <v>1434</v>
      </c>
      <c r="H31" s="185">
        <f t="shared" si="1"/>
        <v>4</v>
      </c>
    </row>
    <row r="32" spans="1:8" ht="15">
      <c r="A32" s="265">
        <v>22</v>
      </c>
      <c r="B32" s="224" t="s">
        <v>852</v>
      </c>
      <c r="C32" s="185">
        <f>'AT3A_cvrg(Insti)_PY'!G32</f>
        <v>674</v>
      </c>
      <c r="D32" s="185">
        <f>'AT3C_cvrg(Insti)_UPY '!G32</f>
        <v>8</v>
      </c>
      <c r="E32" s="185">
        <f>'AT3B_cvrg(Insti)_UPY '!G32</f>
        <v>379</v>
      </c>
      <c r="F32" s="185">
        <f t="shared" si="0"/>
        <v>1061</v>
      </c>
      <c r="G32" s="185">
        <f>'AT3A_cvrg(Insti)_PY'!L32+'AT3B_cvrg(Insti)_UPY '!L32+'AT3C_cvrg(Insti)_UPY '!L32</f>
        <v>1061</v>
      </c>
      <c r="H32" s="185">
        <f t="shared" si="1"/>
        <v>0</v>
      </c>
    </row>
    <row r="33" spans="1:8" ht="15">
      <c r="A33" s="265">
        <v>23</v>
      </c>
      <c r="B33" s="224" t="s">
        <v>853</v>
      </c>
      <c r="C33" s="185">
        <f>'AT3A_cvrg(Insti)_PY'!G33</f>
        <v>1053</v>
      </c>
      <c r="D33" s="185">
        <f>'AT3C_cvrg(Insti)_UPY '!G33</f>
        <v>5</v>
      </c>
      <c r="E33" s="185">
        <f>'AT3B_cvrg(Insti)_UPY '!G33</f>
        <v>669</v>
      </c>
      <c r="F33" s="185">
        <f t="shared" si="0"/>
        <v>1727</v>
      </c>
      <c r="G33" s="185">
        <f>'AT3A_cvrg(Insti)_PY'!L33+'AT3B_cvrg(Insti)_UPY '!L33+'AT3C_cvrg(Insti)_UPY '!L33</f>
        <v>1727</v>
      </c>
      <c r="H33" s="185">
        <f t="shared" si="1"/>
        <v>0</v>
      </c>
    </row>
    <row r="34" spans="1:8" ht="15">
      <c r="A34" s="265">
        <v>24</v>
      </c>
      <c r="B34" s="224" t="s">
        <v>854</v>
      </c>
      <c r="C34" s="185">
        <f>'AT3A_cvrg(Insti)_PY'!G34</f>
        <v>1435</v>
      </c>
      <c r="D34" s="185">
        <f>'AT3C_cvrg(Insti)_UPY '!G34</f>
        <v>4</v>
      </c>
      <c r="E34" s="185">
        <f>'AT3B_cvrg(Insti)_UPY '!G34</f>
        <v>653</v>
      </c>
      <c r="F34" s="185">
        <f t="shared" si="0"/>
        <v>2092</v>
      </c>
      <c r="G34" s="185">
        <f>'AT3A_cvrg(Insti)_PY'!L34+'AT3B_cvrg(Insti)_UPY '!L34+'AT3C_cvrg(Insti)_UPY '!L34</f>
        <v>2092</v>
      </c>
      <c r="H34" s="185">
        <f t="shared" si="1"/>
        <v>0</v>
      </c>
    </row>
    <row r="35" spans="1:8" s="11" customFormat="1" ht="15">
      <c r="A35" s="678" t="s">
        <v>830</v>
      </c>
      <c r="B35" s="679"/>
      <c r="C35" s="323">
        <f aca="true" t="shared" si="2" ref="C35:H35">SUM(C11:C34)</f>
        <v>25113</v>
      </c>
      <c r="D35" s="323">
        <f t="shared" si="2"/>
        <v>275</v>
      </c>
      <c r="E35" s="323">
        <f t="shared" si="2"/>
        <v>14352</v>
      </c>
      <c r="F35" s="323">
        <f t="shared" si="2"/>
        <v>39740</v>
      </c>
      <c r="G35" s="323">
        <f>SUM(G11:G34)</f>
        <v>39722</v>
      </c>
      <c r="H35" s="323">
        <f t="shared" si="2"/>
        <v>18</v>
      </c>
    </row>
    <row r="37" ht="12.75">
      <c r="A37" s="520" t="s">
        <v>277</v>
      </c>
    </row>
    <row r="42" spans="1:11" ht="12.75">
      <c r="A42" s="148"/>
      <c r="B42" s="148"/>
      <c r="C42" s="148"/>
      <c r="D42" s="148"/>
      <c r="E42" s="148"/>
      <c r="F42" s="161"/>
      <c r="G42" s="161"/>
      <c r="H42" s="149"/>
      <c r="I42" s="149"/>
      <c r="J42" s="149"/>
      <c r="K42" s="149"/>
    </row>
    <row r="43" spans="1:13" ht="12.75">
      <c r="A43" s="559" t="s">
        <v>989</v>
      </c>
      <c r="B43" s="559"/>
      <c r="C43" s="559"/>
      <c r="E43" s="358" t="s">
        <v>990</v>
      </c>
      <c r="F43" s="359"/>
      <c r="G43" s="559" t="s">
        <v>996</v>
      </c>
      <c r="H43" s="559"/>
      <c r="I43" s="359"/>
      <c r="J43" s="359"/>
      <c r="K43" s="358"/>
      <c r="L43" s="358"/>
      <c r="M43" s="358"/>
    </row>
    <row r="44" spans="1:13" ht="12.75">
      <c r="A44" s="559" t="s">
        <v>991</v>
      </c>
      <c r="B44" s="559"/>
      <c r="C44" s="559"/>
      <c r="E44" s="358" t="s">
        <v>992</v>
      </c>
      <c r="F44" s="359"/>
      <c r="G44" s="559" t="s">
        <v>993</v>
      </c>
      <c r="H44" s="559"/>
      <c r="I44" s="359"/>
      <c r="J44" s="359"/>
      <c r="K44" s="358"/>
      <c r="L44" s="358"/>
      <c r="M44" s="358"/>
    </row>
    <row r="45" spans="1:13" ht="12.75">
      <c r="A45" s="559" t="s">
        <v>994</v>
      </c>
      <c r="B45" s="559"/>
      <c r="C45" s="559"/>
      <c r="E45" s="358" t="s">
        <v>995</v>
      </c>
      <c r="F45" s="359"/>
      <c r="G45" s="559" t="s">
        <v>995</v>
      </c>
      <c r="H45" s="559"/>
      <c r="I45" s="359"/>
      <c r="J45" s="359"/>
      <c r="K45" s="358"/>
      <c r="L45" s="358"/>
      <c r="M45" s="358"/>
    </row>
    <row r="46" spans="1:15" ht="12.75">
      <c r="A46" s="148"/>
      <c r="B46" s="148"/>
      <c r="C46" s="148"/>
      <c r="D46" s="148"/>
      <c r="E46" s="148"/>
      <c r="F46" s="148"/>
      <c r="G46" s="148"/>
      <c r="H46" s="148"/>
      <c r="I46" s="148"/>
      <c r="J46" s="148"/>
      <c r="K46" s="148"/>
      <c r="L46" s="148"/>
      <c r="M46" s="148"/>
      <c r="N46" s="148"/>
      <c r="O46" s="148"/>
    </row>
  </sheetData>
  <sheetProtection/>
  <mergeCells count="11">
    <mergeCell ref="A43:C43"/>
    <mergeCell ref="A44:C44"/>
    <mergeCell ref="A45:C45"/>
    <mergeCell ref="G43:H43"/>
    <mergeCell ref="G44:H44"/>
    <mergeCell ref="G45:H45"/>
    <mergeCell ref="A2:H2"/>
    <mergeCell ref="A3:H3"/>
    <mergeCell ref="A4:H4"/>
    <mergeCell ref="A35:B35"/>
    <mergeCell ref="G7:I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70.xml><?xml version="1.0" encoding="utf-8"?>
<worksheet xmlns="http://schemas.openxmlformats.org/spreadsheetml/2006/main" xmlns:r="http://schemas.openxmlformats.org/officeDocument/2006/relationships">
  <dimension ref="A3:H56"/>
  <sheetViews>
    <sheetView tabSelected="1" zoomScalePageLayoutView="0" workbookViewId="0" topLeftCell="A1">
      <selection activeCell="K48" sqref="K48"/>
    </sheetView>
  </sheetViews>
  <sheetFormatPr defaultColWidth="9.140625" defaultRowHeight="12.75"/>
  <sheetData>
    <row r="3" ht="20.25">
      <c r="A3" s="1034" t="s">
        <v>1018</v>
      </c>
    </row>
    <row r="4" ht="20.25">
      <c r="A4" s="1034" t="s">
        <v>1019</v>
      </c>
    </row>
    <row r="5" ht="20.25">
      <c r="A5" s="1034" t="s">
        <v>1020</v>
      </c>
    </row>
    <row r="6" ht="18.75" thickBot="1">
      <c r="A6" s="1035" t="s">
        <v>1021</v>
      </c>
    </row>
    <row r="7" spans="1:8" ht="64.5" thickBot="1">
      <c r="A7" s="1036" t="s">
        <v>1022</v>
      </c>
      <c r="B7" s="1037" t="s">
        <v>1023</v>
      </c>
      <c r="C7" s="1037" t="s">
        <v>1024</v>
      </c>
      <c r="D7" s="1037" t="s">
        <v>1025</v>
      </c>
      <c r="E7" s="1037" t="s">
        <v>1026</v>
      </c>
      <c r="F7" s="1037" t="s">
        <v>1027</v>
      </c>
      <c r="G7" s="1037" t="s">
        <v>1028</v>
      </c>
      <c r="H7" s="1037" t="s">
        <v>72</v>
      </c>
    </row>
    <row r="8" spans="1:8" ht="13.5" thickBot="1">
      <c r="A8" s="1048" t="s">
        <v>292</v>
      </c>
      <c r="B8" s="1049"/>
      <c r="C8" s="1049"/>
      <c r="D8" s="1049"/>
      <c r="E8" s="1049"/>
      <c r="F8" s="1049"/>
      <c r="G8" s="1049"/>
      <c r="H8" s="1050"/>
    </row>
    <row r="9" spans="1:8" ht="79.5" thickBot="1">
      <c r="A9" s="1038">
        <v>1</v>
      </c>
      <c r="B9" s="1039" t="s">
        <v>1029</v>
      </c>
      <c r="C9" s="1040" t="s">
        <v>1030</v>
      </c>
      <c r="D9" s="1041">
        <v>1</v>
      </c>
      <c r="E9" s="1051" t="s">
        <v>1031</v>
      </c>
      <c r="F9" s="1052"/>
      <c r="G9" s="1040" t="s">
        <v>1032</v>
      </c>
      <c r="H9" s="1040"/>
    </row>
    <row r="10" spans="1:8" ht="123.75" thickBot="1">
      <c r="A10" s="1038">
        <v>2</v>
      </c>
      <c r="B10" s="1039" t="s">
        <v>1033</v>
      </c>
      <c r="C10" s="1040" t="s">
        <v>1034</v>
      </c>
      <c r="D10" s="1041">
        <v>1</v>
      </c>
      <c r="E10" s="1053"/>
      <c r="F10" s="1054"/>
      <c r="G10" s="1040" t="s">
        <v>1032</v>
      </c>
      <c r="H10" s="1055" t="s">
        <v>1035</v>
      </c>
    </row>
    <row r="11" spans="1:8" ht="51.75" thickBot="1">
      <c r="A11" s="1038">
        <v>3</v>
      </c>
      <c r="B11" s="1039" t="s">
        <v>1036</v>
      </c>
      <c r="C11" s="1040" t="s">
        <v>1037</v>
      </c>
      <c r="D11" s="1041">
        <v>1</v>
      </c>
      <c r="E11" s="1042">
        <v>0.5</v>
      </c>
      <c r="F11" s="1042">
        <v>6</v>
      </c>
      <c r="G11" s="1040" t="s">
        <v>1038</v>
      </c>
      <c r="H11" s="1056"/>
    </row>
    <row r="12" spans="1:8" ht="153.75" thickBot="1">
      <c r="A12" s="1038">
        <v>4</v>
      </c>
      <c r="B12" s="1039" t="s">
        <v>1039</v>
      </c>
      <c r="C12" s="1040" t="s">
        <v>1040</v>
      </c>
      <c r="D12" s="1041">
        <v>1</v>
      </c>
      <c r="E12" s="1042">
        <v>0.25</v>
      </c>
      <c r="F12" s="1042">
        <v>3</v>
      </c>
      <c r="G12" s="1040" t="s">
        <v>1038</v>
      </c>
      <c r="H12" s="1056"/>
    </row>
    <row r="13" spans="1:8" ht="51.75" thickBot="1">
      <c r="A13" s="1038">
        <v>5</v>
      </c>
      <c r="B13" s="1039" t="s">
        <v>1041</v>
      </c>
      <c r="C13" s="1040" t="s">
        <v>1042</v>
      </c>
      <c r="D13" s="1041">
        <v>4</v>
      </c>
      <c r="E13" s="1042">
        <v>0.28</v>
      </c>
      <c r="F13" s="1042">
        <v>13.44</v>
      </c>
      <c r="G13" s="1040" t="s">
        <v>1038</v>
      </c>
      <c r="H13" s="1056"/>
    </row>
    <row r="14" spans="1:8" ht="39" thickBot="1">
      <c r="A14" s="1038">
        <v>6</v>
      </c>
      <c r="B14" s="1039" t="s">
        <v>1043</v>
      </c>
      <c r="C14" s="1040" t="s">
        <v>1044</v>
      </c>
      <c r="D14" s="1041">
        <v>1</v>
      </c>
      <c r="E14" s="1042">
        <v>0.25</v>
      </c>
      <c r="F14" s="1042">
        <v>3</v>
      </c>
      <c r="G14" s="1040" t="s">
        <v>1038</v>
      </c>
      <c r="H14" s="1056"/>
    </row>
    <row r="15" spans="1:8" ht="51.75" thickBot="1">
      <c r="A15" s="1043">
        <v>7</v>
      </c>
      <c r="B15" s="1044" t="s">
        <v>1045</v>
      </c>
      <c r="C15" s="1040" t="s">
        <v>1046</v>
      </c>
      <c r="D15" s="1041">
        <v>2</v>
      </c>
      <c r="E15" s="1042" t="s">
        <v>1047</v>
      </c>
      <c r="F15" s="1042">
        <v>2.41</v>
      </c>
      <c r="G15" s="1040" t="s">
        <v>1048</v>
      </c>
      <c r="H15" s="1056"/>
    </row>
    <row r="16" spans="1:8" ht="13.5" thickBot="1">
      <c r="A16" s="1058" t="s">
        <v>1049</v>
      </c>
      <c r="B16" s="1059"/>
      <c r="C16" s="1045"/>
      <c r="D16" s="1046">
        <v>11</v>
      </c>
      <c r="E16" s="1047">
        <v>1.38</v>
      </c>
      <c r="F16" s="1047">
        <v>27.85</v>
      </c>
      <c r="G16" s="1045"/>
      <c r="H16" s="1057"/>
    </row>
    <row r="17" spans="1:8" ht="13.5" thickBot="1">
      <c r="A17" s="1058" t="s">
        <v>1050</v>
      </c>
      <c r="B17" s="1060"/>
      <c r="C17" s="1060"/>
      <c r="D17" s="1060"/>
      <c r="E17" s="1060"/>
      <c r="F17" s="1060"/>
      <c r="G17" s="1061"/>
      <c r="H17" s="1063" t="s">
        <v>1051</v>
      </c>
    </row>
    <row r="18" spans="1:8" ht="64.5" thickBot="1">
      <c r="A18" s="1038">
        <v>1</v>
      </c>
      <c r="B18" s="1039" t="s">
        <v>1052</v>
      </c>
      <c r="C18" s="1040" t="s">
        <v>1042</v>
      </c>
      <c r="D18" s="1041">
        <v>24</v>
      </c>
      <c r="E18" s="1042">
        <v>0.12</v>
      </c>
      <c r="F18" s="1042">
        <v>34.56</v>
      </c>
      <c r="G18" s="1040" t="s">
        <v>1038</v>
      </c>
      <c r="H18" s="1062"/>
    </row>
    <row r="19" spans="1:8" ht="13.5" thickBot="1">
      <c r="A19" s="1058" t="s">
        <v>1053</v>
      </c>
      <c r="B19" s="1059"/>
      <c r="C19" s="1045"/>
      <c r="D19" s="1046">
        <v>24</v>
      </c>
      <c r="E19" s="1047">
        <v>0.12</v>
      </c>
      <c r="F19" s="1047">
        <v>34.56</v>
      </c>
      <c r="G19" s="1040"/>
      <c r="H19" s="1064"/>
    </row>
    <row r="20" spans="1:8" ht="13.5" thickBot="1">
      <c r="A20" s="1058" t="s">
        <v>1054</v>
      </c>
      <c r="B20" s="1060"/>
      <c r="C20" s="1060"/>
      <c r="D20" s="1060"/>
      <c r="E20" s="1060"/>
      <c r="F20" s="1060"/>
      <c r="G20" s="1061"/>
      <c r="H20" s="1063" t="s">
        <v>1051</v>
      </c>
    </row>
    <row r="21" spans="1:8" ht="64.5" thickBot="1">
      <c r="A21" s="1038">
        <v>1</v>
      </c>
      <c r="B21" s="1039" t="s">
        <v>1055</v>
      </c>
      <c r="C21" s="1040" t="s">
        <v>1042</v>
      </c>
      <c r="D21" s="1041">
        <v>262</v>
      </c>
      <c r="E21" s="1042">
        <v>0.09</v>
      </c>
      <c r="F21" s="1042">
        <v>282.96</v>
      </c>
      <c r="G21" s="1040" t="s">
        <v>1038</v>
      </c>
      <c r="H21" s="1062"/>
    </row>
    <row r="22" spans="1:8" ht="13.5" thickBot="1">
      <c r="A22" s="1058" t="s">
        <v>1056</v>
      </c>
      <c r="B22" s="1059"/>
      <c r="C22" s="1045"/>
      <c r="D22" s="1046">
        <v>262</v>
      </c>
      <c r="E22" s="1047">
        <v>0.09</v>
      </c>
      <c r="F22" s="1047">
        <v>282.96</v>
      </c>
      <c r="G22" s="1040"/>
      <c r="H22" s="1064"/>
    </row>
    <row r="23" spans="1:8" ht="13.5" thickBot="1">
      <c r="A23" s="1058" t="s">
        <v>1057</v>
      </c>
      <c r="B23" s="1059"/>
      <c r="C23" s="1046"/>
      <c r="D23" s="1046">
        <v>297</v>
      </c>
      <c r="E23" s="1047">
        <v>1.49</v>
      </c>
      <c r="F23" s="1047">
        <v>345.37</v>
      </c>
      <c r="G23" s="1040"/>
      <c r="H23" s="1040"/>
    </row>
    <row r="24" ht="18">
      <c r="A24" s="1035"/>
    </row>
    <row r="25" ht="20.25">
      <c r="A25" s="1065"/>
    </row>
    <row r="26" ht="20.25">
      <c r="A26" s="1065"/>
    </row>
    <row r="28" ht="18">
      <c r="A28" s="1066"/>
    </row>
    <row r="29" ht="18">
      <c r="A29" s="1035" t="s">
        <v>1058</v>
      </c>
    </row>
    <row r="30" ht="21" thickBot="1">
      <c r="A30" s="1065"/>
    </row>
    <row r="31" spans="1:5" ht="15.75" thickBot="1">
      <c r="A31" s="1073" t="s">
        <v>1059</v>
      </c>
      <c r="B31" s="1073" t="s">
        <v>1060</v>
      </c>
      <c r="C31" s="1067" t="s">
        <v>1061</v>
      </c>
      <c r="D31" s="1073" t="s">
        <v>1062</v>
      </c>
      <c r="E31" s="1073" t="s">
        <v>1063</v>
      </c>
    </row>
    <row r="32" spans="1:5" ht="30.75" thickBot="1">
      <c r="A32" s="1074"/>
      <c r="B32" s="1074"/>
      <c r="C32" s="1068" t="s">
        <v>1064</v>
      </c>
      <c r="D32" s="1074"/>
      <c r="E32" s="1074"/>
    </row>
    <row r="33" spans="1:5" ht="257.25" thickBot="1">
      <c r="A33" s="1069">
        <v>1</v>
      </c>
      <c r="B33" s="1070" t="s">
        <v>94</v>
      </c>
      <c r="C33" s="1070" t="s">
        <v>1065</v>
      </c>
      <c r="D33" s="1071">
        <v>1</v>
      </c>
      <c r="E33" s="1071">
        <v>6.96</v>
      </c>
    </row>
    <row r="34" spans="1:5" ht="57.75" thickBot="1">
      <c r="A34" s="1069">
        <v>2</v>
      </c>
      <c r="B34" s="1070" t="s">
        <v>31</v>
      </c>
      <c r="C34" s="1070" t="s">
        <v>1066</v>
      </c>
      <c r="D34" s="1071">
        <v>24</v>
      </c>
      <c r="E34" s="1071">
        <v>5.76</v>
      </c>
    </row>
    <row r="35" spans="1:5" ht="129" thickBot="1">
      <c r="A35" s="1069">
        <v>3</v>
      </c>
      <c r="B35" s="1070" t="s">
        <v>1067</v>
      </c>
      <c r="C35" s="1070" t="s">
        <v>1068</v>
      </c>
      <c r="D35" s="1071" t="s">
        <v>1069</v>
      </c>
      <c r="E35" s="1071">
        <v>31.68</v>
      </c>
    </row>
    <row r="36" spans="1:5" ht="129" thickBot="1">
      <c r="A36" s="1069">
        <v>4</v>
      </c>
      <c r="B36" s="1070" t="s">
        <v>394</v>
      </c>
      <c r="C36" s="1070" t="s">
        <v>1070</v>
      </c>
      <c r="D36" s="1071" t="s">
        <v>1071</v>
      </c>
      <c r="E36" s="1071">
        <v>214.596</v>
      </c>
    </row>
    <row r="37" spans="1:5" ht="100.5" thickBot="1">
      <c r="A37" s="1069">
        <v>5</v>
      </c>
      <c r="B37" s="1070" t="s">
        <v>394</v>
      </c>
      <c r="C37" s="1070" t="s">
        <v>1072</v>
      </c>
      <c r="D37" s="1071" t="s">
        <v>1073</v>
      </c>
      <c r="E37" s="1071">
        <v>600</v>
      </c>
    </row>
    <row r="38" spans="1:5" ht="15.75" thickBot="1">
      <c r="A38" s="1075" t="s">
        <v>1074</v>
      </c>
      <c r="B38" s="1076"/>
      <c r="C38" s="1077"/>
      <c r="D38" s="1072"/>
      <c r="E38" s="1068">
        <v>858.996</v>
      </c>
    </row>
    <row r="39" ht="20.25">
      <c r="A39" s="1065"/>
    </row>
    <row r="40" ht="18.75" thickBot="1">
      <c r="A40" s="1035" t="s">
        <v>1075</v>
      </c>
    </row>
    <row r="41" spans="1:5" ht="45.75" thickBot="1">
      <c r="A41" s="1078" t="s">
        <v>1059</v>
      </c>
      <c r="B41" s="1067" t="s">
        <v>1060</v>
      </c>
      <c r="C41" s="1067" t="s">
        <v>1076</v>
      </c>
      <c r="D41" s="1067" t="s">
        <v>1062</v>
      </c>
      <c r="E41" s="1067" t="s">
        <v>1077</v>
      </c>
    </row>
    <row r="42" spans="1:5" ht="157.5" customHeight="1">
      <c r="A42" s="1083">
        <v>1</v>
      </c>
      <c r="B42" s="1083" t="s">
        <v>1078</v>
      </c>
      <c r="C42" s="1085" t="s">
        <v>1079</v>
      </c>
      <c r="D42" s="1083" t="s">
        <v>1080</v>
      </c>
      <c r="E42" s="1083">
        <v>10</v>
      </c>
    </row>
    <row r="43" spans="1:5" ht="13.5" thickBot="1">
      <c r="A43" s="1084"/>
      <c r="B43" s="1084"/>
      <c r="C43" s="1086"/>
      <c r="D43" s="1084"/>
      <c r="E43" s="1084"/>
    </row>
    <row r="44" spans="1:5" ht="90.75" thickBot="1">
      <c r="A44" s="1079">
        <v>2</v>
      </c>
      <c r="B44" s="1080" t="s">
        <v>1081</v>
      </c>
      <c r="C44" s="1081" t="s">
        <v>1082</v>
      </c>
      <c r="D44" s="1080" t="s">
        <v>1083</v>
      </c>
      <c r="E44" s="1080">
        <v>425.3</v>
      </c>
    </row>
    <row r="45" spans="1:5" ht="15.75" thickBot="1">
      <c r="A45" s="1087" t="s">
        <v>13</v>
      </c>
      <c r="B45" s="1088"/>
      <c r="C45" s="1088"/>
      <c r="D45" s="1089"/>
      <c r="E45" s="1082">
        <v>435.3</v>
      </c>
    </row>
    <row r="46" ht="20.25">
      <c r="A46" s="1065"/>
    </row>
    <row r="47" ht="20.25">
      <c r="A47" s="1065" t="s">
        <v>1084</v>
      </c>
    </row>
    <row r="48" ht="21" thickBot="1">
      <c r="A48" s="1065"/>
    </row>
    <row r="49" spans="1:2" ht="57.75" thickBot="1">
      <c r="A49" s="1090" t="s">
        <v>1085</v>
      </c>
      <c r="B49" s="1091">
        <v>345.37</v>
      </c>
    </row>
    <row r="50" spans="1:2" ht="57.75" thickBot="1">
      <c r="A50" s="1069" t="s">
        <v>1086</v>
      </c>
      <c r="B50" s="1070">
        <v>858.996</v>
      </c>
    </row>
    <row r="51" spans="1:2" ht="72" thickBot="1">
      <c r="A51" s="1069" t="s">
        <v>1087</v>
      </c>
      <c r="B51" s="1070">
        <v>435.3</v>
      </c>
    </row>
    <row r="52" spans="1:2" ht="15.75" thickBot="1">
      <c r="A52" s="1092" t="s">
        <v>860</v>
      </c>
      <c r="B52" s="1072">
        <v>1639.666</v>
      </c>
    </row>
    <row r="53" ht="20.25">
      <c r="A53" s="1065"/>
    </row>
    <row r="54" ht="24">
      <c r="A54" s="1093"/>
    </row>
    <row r="55" ht="15">
      <c r="A55" s="1094" t="s">
        <v>996</v>
      </c>
    </row>
    <row r="56" ht="15">
      <c r="A56" s="1094" t="s">
        <v>1088</v>
      </c>
    </row>
  </sheetData>
  <sheetProtection/>
  <mergeCells count="22">
    <mergeCell ref="A45:D45"/>
    <mergeCell ref="A38:C38"/>
    <mergeCell ref="A42:A43"/>
    <mergeCell ref="B42:B43"/>
    <mergeCell ref="C42:C43"/>
    <mergeCell ref="D42:D43"/>
    <mergeCell ref="E42:E43"/>
    <mergeCell ref="A20:G20"/>
    <mergeCell ref="H20:H22"/>
    <mergeCell ref="A22:B22"/>
    <mergeCell ref="A23:B23"/>
    <mergeCell ref="A31:A32"/>
    <mergeCell ref="B31:B32"/>
    <mergeCell ref="D31:D32"/>
    <mergeCell ref="E31:E32"/>
    <mergeCell ref="A8:H8"/>
    <mergeCell ref="E9:F10"/>
    <mergeCell ref="H10:H16"/>
    <mergeCell ref="A16:B16"/>
    <mergeCell ref="A17:G17"/>
    <mergeCell ref="H17:H19"/>
    <mergeCell ref="A19:B1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S50"/>
  <sheetViews>
    <sheetView view="pageBreakPreview" zoomScale="85" zoomScaleSheetLayoutView="85" zoomScalePageLayoutView="0" workbookViewId="0" topLeftCell="A1">
      <selection activeCell="E37" sqref="E37"/>
    </sheetView>
  </sheetViews>
  <sheetFormatPr defaultColWidth="9.140625" defaultRowHeight="12.75"/>
  <cols>
    <col min="1" max="1" width="6.8515625" style="12" customWidth="1"/>
    <col min="2" max="2" width="15.421875" style="12" bestFit="1" customWidth="1"/>
    <col min="3" max="3" width="9.7109375" style="12" customWidth="1"/>
    <col min="4" max="4" width="9.140625" style="12" customWidth="1"/>
    <col min="5" max="5" width="9.57421875" style="12" customWidth="1"/>
    <col min="6" max="6" width="9.7109375" style="12" customWidth="1"/>
    <col min="7" max="7" width="10.00390625" style="12" customWidth="1"/>
    <col min="8" max="8" width="9.8515625" style="12" customWidth="1"/>
    <col min="9" max="9" width="9.140625" style="12" customWidth="1"/>
    <col min="10" max="10" width="10.7109375" style="12" customWidth="1"/>
    <col min="11" max="11" width="8.8515625" style="12" customWidth="1"/>
    <col min="12" max="12" width="9.8515625" style="12" customWidth="1"/>
    <col min="13" max="13" width="8.8515625" style="12" customWidth="1"/>
    <col min="14" max="14" width="12.57421875" style="12" customWidth="1"/>
    <col min="15" max="16384" width="9.140625" style="12" customWidth="1"/>
  </cols>
  <sheetData>
    <row r="1" spans="4:13" ht="15">
      <c r="D1" s="594"/>
      <c r="E1" s="594"/>
      <c r="F1" s="594"/>
      <c r="G1" s="594"/>
      <c r="H1" s="594"/>
      <c r="I1" s="594"/>
      <c r="L1" s="681" t="s">
        <v>81</v>
      </c>
      <c r="M1" s="681"/>
    </row>
    <row r="2" spans="1:14" ht="15">
      <c r="A2" s="684" t="s">
        <v>0</v>
      </c>
      <c r="B2" s="684"/>
      <c r="C2" s="684"/>
      <c r="D2" s="684"/>
      <c r="E2" s="684"/>
      <c r="F2" s="684"/>
      <c r="G2" s="684"/>
      <c r="H2" s="684"/>
      <c r="I2" s="684"/>
      <c r="J2" s="684"/>
      <c r="K2" s="684"/>
      <c r="L2" s="684"/>
      <c r="M2" s="684"/>
      <c r="N2" s="684"/>
    </row>
    <row r="3" spans="1:14" ht="20.25">
      <c r="A3" s="591" t="s">
        <v>645</v>
      </c>
      <c r="B3" s="591"/>
      <c r="C3" s="591"/>
      <c r="D3" s="591"/>
      <c r="E3" s="591"/>
      <c r="F3" s="591"/>
      <c r="G3" s="591"/>
      <c r="H3" s="591"/>
      <c r="I3" s="591"/>
      <c r="J3" s="591"/>
      <c r="K3" s="591"/>
      <c r="L3" s="591"/>
      <c r="M3" s="591"/>
      <c r="N3" s="591"/>
    </row>
    <row r="4" spans="1:14" ht="15.75">
      <c r="A4" s="590" t="s">
        <v>651</v>
      </c>
      <c r="B4" s="590"/>
      <c r="C4" s="590"/>
      <c r="D4" s="590"/>
      <c r="E4" s="590"/>
      <c r="F4" s="590"/>
      <c r="G4" s="590"/>
      <c r="H4" s="590"/>
      <c r="I4" s="590"/>
      <c r="J4" s="590"/>
      <c r="K4" s="590"/>
      <c r="L4" s="590"/>
      <c r="M4" s="590"/>
      <c r="N4" s="590"/>
    </row>
    <row r="6" spans="1:14" ht="12.75">
      <c r="A6" s="593" t="s">
        <v>956</v>
      </c>
      <c r="B6" s="593"/>
      <c r="K6" s="86"/>
      <c r="L6" s="683" t="s">
        <v>959</v>
      </c>
      <c r="M6" s="683"/>
      <c r="N6" s="683"/>
    </row>
    <row r="7" spans="1:14" ht="12.75">
      <c r="A7" s="25"/>
      <c r="B7" s="25"/>
      <c r="K7" s="79"/>
      <c r="L7" s="97"/>
      <c r="M7" s="100"/>
      <c r="N7" s="97"/>
    </row>
    <row r="8" spans="1:14" ht="12.75">
      <c r="A8" s="685" t="s">
        <v>1</v>
      </c>
      <c r="B8" s="685" t="s">
        <v>2</v>
      </c>
      <c r="C8" s="572" t="s">
        <v>3</v>
      </c>
      <c r="D8" s="572"/>
      <c r="E8" s="572"/>
      <c r="F8" s="560"/>
      <c r="G8" s="682"/>
      <c r="H8" s="688" t="s">
        <v>95</v>
      </c>
      <c r="I8" s="688"/>
      <c r="J8" s="688"/>
      <c r="K8" s="688"/>
      <c r="L8" s="688"/>
      <c r="M8" s="685" t="s">
        <v>130</v>
      </c>
      <c r="N8" s="573" t="s">
        <v>131</v>
      </c>
    </row>
    <row r="9" spans="1:19" ht="38.25">
      <c r="A9" s="686"/>
      <c r="B9" s="686"/>
      <c r="C9" s="5" t="s">
        <v>4</v>
      </c>
      <c r="D9" s="5" t="s">
        <v>5</v>
      </c>
      <c r="E9" s="5" t="s">
        <v>358</v>
      </c>
      <c r="F9" s="7" t="s">
        <v>93</v>
      </c>
      <c r="G9" s="6" t="s">
        <v>359</v>
      </c>
      <c r="H9" s="5" t="s">
        <v>4</v>
      </c>
      <c r="I9" s="5" t="s">
        <v>5</v>
      </c>
      <c r="J9" s="5" t="s">
        <v>358</v>
      </c>
      <c r="K9" s="7" t="s">
        <v>93</v>
      </c>
      <c r="L9" s="7" t="s">
        <v>360</v>
      </c>
      <c r="M9" s="686"/>
      <c r="N9" s="573"/>
      <c r="R9" s="17"/>
      <c r="S9" s="17"/>
    </row>
    <row r="10" spans="1:14" s="11" customFormat="1" ht="12.75">
      <c r="A10" s="5">
        <v>1</v>
      </c>
      <c r="B10" s="5">
        <v>2</v>
      </c>
      <c r="C10" s="5">
        <v>3</v>
      </c>
      <c r="D10" s="5">
        <v>4</v>
      </c>
      <c r="E10" s="5">
        <v>5</v>
      </c>
      <c r="F10" s="5">
        <v>6</v>
      </c>
      <c r="G10" s="5">
        <v>7</v>
      </c>
      <c r="H10" s="5">
        <v>8</v>
      </c>
      <c r="I10" s="5">
        <v>9</v>
      </c>
      <c r="J10" s="5">
        <v>10</v>
      </c>
      <c r="K10" s="5">
        <v>11</v>
      </c>
      <c r="L10" s="5">
        <v>12</v>
      </c>
      <c r="M10" s="5">
        <v>13</v>
      </c>
      <c r="N10" s="5">
        <v>14</v>
      </c>
    </row>
    <row r="11" spans="1:15" ht="12.75">
      <c r="A11" s="14">
        <v>1</v>
      </c>
      <c r="B11" s="224" t="s">
        <v>831</v>
      </c>
      <c r="C11" s="15">
        <v>1511</v>
      </c>
      <c r="D11" s="15">
        <v>45</v>
      </c>
      <c r="E11" s="15">
        <v>28</v>
      </c>
      <c r="F11" s="535">
        <v>0</v>
      </c>
      <c r="G11" s="540">
        <f aca="true" t="shared" si="0" ref="G11:G34">SUM(C11:F11)</f>
        <v>1584</v>
      </c>
      <c r="H11" s="15">
        <v>1502</v>
      </c>
      <c r="I11" s="15">
        <v>45</v>
      </c>
      <c r="J11" s="15">
        <v>28</v>
      </c>
      <c r="K11" s="15">
        <v>0</v>
      </c>
      <c r="L11" s="15">
        <f aca="true" t="shared" si="1" ref="L11:L33">SUM(H11:K11)</f>
        <v>1575</v>
      </c>
      <c r="M11" s="15">
        <f>G11-L11</f>
        <v>9</v>
      </c>
      <c r="N11" s="15" t="s">
        <v>861</v>
      </c>
      <c r="O11" s="12">
        <f>'AT3B_cvrg(Insti)_UPY '!G11+'AT3C_cvrg(Insti)_UPY '!G11</f>
        <v>902</v>
      </c>
    </row>
    <row r="12" spans="1:15" ht="12.75">
      <c r="A12" s="14">
        <v>2</v>
      </c>
      <c r="B12" s="224" t="s">
        <v>832</v>
      </c>
      <c r="C12" s="15">
        <v>585</v>
      </c>
      <c r="D12" s="15">
        <v>74</v>
      </c>
      <c r="E12" s="15">
        <v>0</v>
      </c>
      <c r="F12" s="535">
        <v>0</v>
      </c>
      <c r="G12" s="540">
        <f t="shared" si="0"/>
        <v>659</v>
      </c>
      <c r="H12" s="15">
        <v>585</v>
      </c>
      <c r="I12" s="15">
        <v>74</v>
      </c>
      <c r="J12" s="15">
        <v>0</v>
      </c>
      <c r="K12" s="15">
        <v>0</v>
      </c>
      <c r="L12" s="15">
        <f t="shared" si="1"/>
        <v>659</v>
      </c>
      <c r="M12" s="15">
        <f aca="true" t="shared" si="2" ref="M12:M34">G12-L12</f>
        <v>0</v>
      </c>
      <c r="N12" s="15"/>
      <c r="O12" s="12">
        <f>'AT3B_cvrg(Insti)_UPY '!G12+'AT3C_cvrg(Insti)_UPY '!G12</f>
        <v>337</v>
      </c>
    </row>
    <row r="13" spans="1:15" ht="12.75">
      <c r="A13" s="14">
        <v>3</v>
      </c>
      <c r="B13" s="224" t="s">
        <v>833</v>
      </c>
      <c r="C13" s="15">
        <v>355</v>
      </c>
      <c r="D13" s="15">
        <v>7</v>
      </c>
      <c r="E13" s="15">
        <v>0</v>
      </c>
      <c r="F13" s="535">
        <v>0</v>
      </c>
      <c r="G13" s="540">
        <f t="shared" si="0"/>
        <v>362</v>
      </c>
      <c r="H13" s="15">
        <v>355</v>
      </c>
      <c r="I13" s="15">
        <v>7</v>
      </c>
      <c r="J13" s="15">
        <v>0</v>
      </c>
      <c r="K13" s="15">
        <v>0</v>
      </c>
      <c r="L13" s="15">
        <f t="shared" si="1"/>
        <v>362</v>
      </c>
      <c r="M13" s="15">
        <f t="shared" si="2"/>
        <v>0</v>
      </c>
      <c r="N13" s="15"/>
      <c r="O13" s="12">
        <f>'AT3B_cvrg(Insti)_UPY '!G13+'AT3C_cvrg(Insti)_UPY '!G13</f>
        <v>218</v>
      </c>
    </row>
    <row r="14" spans="1:15" ht="12.75">
      <c r="A14" s="14">
        <v>4</v>
      </c>
      <c r="B14" s="224" t="s">
        <v>834</v>
      </c>
      <c r="C14" s="15">
        <v>921</v>
      </c>
      <c r="D14" s="15">
        <v>168</v>
      </c>
      <c r="E14" s="15">
        <v>0</v>
      </c>
      <c r="F14" s="535">
        <v>1</v>
      </c>
      <c r="G14" s="540">
        <f t="shared" si="0"/>
        <v>1090</v>
      </c>
      <c r="H14" s="15">
        <v>921</v>
      </c>
      <c r="I14" s="15">
        <v>168</v>
      </c>
      <c r="J14" s="15">
        <v>0</v>
      </c>
      <c r="K14" s="15">
        <v>1</v>
      </c>
      <c r="L14" s="15">
        <f t="shared" si="1"/>
        <v>1090</v>
      </c>
      <c r="M14" s="15">
        <f t="shared" si="2"/>
        <v>0</v>
      </c>
      <c r="N14" s="15"/>
      <c r="O14" s="12">
        <f>'AT3B_cvrg(Insti)_UPY '!G14+'AT3C_cvrg(Insti)_UPY '!G14</f>
        <v>641</v>
      </c>
    </row>
    <row r="15" spans="1:15" ht="12.75">
      <c r="A15" s="14">
        <v>5</v>
      </c>
      <c r="B15" s="224" t="s">
        <v>835</v>
      </c>
      <c r="C15" s="15">
        <v>512</v>
      </c>
      <c r="D15" s="15">
        <v>149</v>
      </c>
      <c r="E15" s="15">
        <v>0</v>
      </c>
      <c r="F15" s="535">
        <v>0</v>
      </c>
      <c r="G15" s="540">
        <f>SUM(C15:F15)</f>
        <v>661</v>
      </c>
      <c r="H15" s="15">
        <v>512</v>
      </c>
      <c r="I15" s="15">
        <v>149</v>
      </c>
      <c r="J15" s="15">
        <v>0</v>
      </c>
      <c r="K15" s="15">
        <v>0</v>
      </c>
      <c r="L15" s="15">
        <f>SUM(H15:K15)</f>
        <v>661</v>
      </c>
      <c r="M15" s="15">
        <f t="shared" si="2"/>
        <v>0</v>
      </c>
      <c r="N15" s="15"/>
      <c r="O15" s="12">
        <f>'AT3B_cvrg(Insti)_UPY '!G15+'AT3C_cvrg(Insti)_UPY '!G15</f>
        <v>417</v>
      </c>
    </row>
    <row r="16" spans="1:15" ht="12.75">
      <c r="A16" s="14">
        <v>6</v>
      </c>
      <c r="B16" s="224" t="s">
        <v>836</v>
      </c>
      <c r="C16" s="15">
        <v>1266</v>
      </c>
      <c r="D16" s="15">
        <v>5</v>
      </c>
      <c r="E16" s="15">
        <v>0</v>
      </c>
      <c r="F16" s="535">
        <v>0</v>
      </c>
      <c r="G16" s="540">
        <f t="shared" si="0"/>
        <v>1271</v>
      </c>
      <c r="H16" s="15">
        <v>1266</v>
      </c>
      <c r="I16" s="15">
        <v>5</v>
      </c>
      <c r="J16" s="15">
        <v>0</v>
      </c>
      <c r="K16" s="15">
        <v>0</v>
      </c>
      <c r="L16" s="15">
        <f t="shared" si="1"/>
        <v>1271</v>
      </c>
      <c r="M16" s="15">
        <f t="shared" si="2"/>
        <v>0</v>
      </c>
      <c r="N16" s="15"/>
      <c r="O16" s="12">
        <f>'AT3B_cvrg(Insti)_UPY '!G16+'AT3C_cvrg(Insti)_UPY '!G16</f>
        <v>683</v>
      </c>
    </row>
    <row r="17" spans="1:15" ht="12.75">
      <c r="A17" s="14">
        <v>7</v>
      </c>
      <c r="B17" s="224" t="s">
        <v>837</v>
      </c>
      <c r="C17" s="15">
        <v>1048</v>
      </c>
      <c r="D17" s="15">
        <v>0</v>
      </c>
      <c r="E17" s="15">
        <v>0</v>
      </c>
      <c r="F17" s="535">
        <v>0</v>
      </c>
      <c r="G17" s="540">
        <f t="shared" si="0"/>
        <v>1048</v>
      </c>
      <c r="H17" s="15">
        <v>1048</v>
      </c>
      <c r="I17" s="15">
        <v>0</v>
      </c>
      <c r="J17" s="15">
        <v>0</v>
      </c>
      <c r="K17" s="15">
        <v>0</v>
      </c>
      <c r="L17" s="15">
        <f t="shared" si="1"/>
        <v>1048</v>
      </c>
      <c r="M17" s="15">
        <f t="shared" si="2"/>
        <v>0</v>
      </c>
      <c r="N17" s="15"/>
      <c r="O17" s="12">
        <f>'AT3B_cvrg(Insti)_UPY '!G17+'AT3C_cvrg(Insti)_UPY '!G17</f>
        <v>612</v>
      </c>
    </row>
    <row r="18" spans="1:15" ht="12.75">
      <c r="A18" s="14">
        <v>8</v>
      </c>
      <c r="B18" s="224" t="s">
        <v>838</v>
      </c>
      <c r="C18" s="15">
        <v>1507</v>
      </c>
      <c r="D18" s="15">
        <v>9</v>
      </c>
      <c r="E18" s="15">
        <v>31</v>
      </c>
      <c r="F18" s="535">
        <v>0</v>
      </c>
      <c r="G18" s="540">
        <f t="shared" si="0"/>
        <v>1547</v>
      </c>
      <c r="H18" s="15">
        <v>1507</v>
      </c>
      <c r="I18" s="15">
        <v>9</v>
      </c>
      <c r="J18" s="15">
        <v>31</v>
      </c>
      <c r="K18" s="15">
        <v>0</v>
      </c>
      <c r="L18" s="15">
        <f t="shared" si="1"/>
        <v>1547</v>
      </c>
      <c r="M18" s="15">
        <f t="shared" si="2"/>
        <v>0</v>
      </c>
      <c r="N18" s="15"/>
      <c r="O18" s="12">
        <f>'AT3B_cvrg(Insti)_UPY '!G18+'AT3C_cvrg(Insti)_UPY '!G18</f>
        <v>705</v>
      </c>
    </row>
    <row r="19" spans="1:15" ht="12.75">
      <c r="A19" s="14">
        <v>9</v>
      </c>
      <c r="B19" s="224" t="s">
        <v>839</v>
      </c>
      <c r="C19" s="15">
        <v>1274</v>
      </c>
      <c r="D19" s="15">
        <v>1</v>
      </c>
      <c r="E19" s="15">
        <v>0</v>
      </c>
      <c r="F19" s="535">
        <v>0</v>
      </c>
      <c r="G19" s="540">
        <f t="shared" si="0"/>
        <v>1275</v>
      </c>
      <c r="H19" s="15">
        <v>1274</v>
      </c>
      <c r="I19" s="15">
        <v>1</v>
      </c>
      <c r="J19" s="15">
        <v>0</v>
      </c>
      <c r="K19" s="15">
        <v>0</v>
      </c>
      <c r="L19" s="15">
        <f t="shared" si="1"/>
        <v>1275</v>
      </c>
      <c r="M19" s="15">
        <f t="shared" si="2"/>
        <v>0</v>
      </c>
      <c r="N19" s="15"/>
      <c r="O19" s="12">
        <f>'AT3B_cvrg(Insti)_UPY '!G19+'AT3C_cvrg(Insti)_UPY '!G19</f>
        <v>1299</v>
      </c>
    </row>
    <row r="20" spans="1:15" ht="12.75">
      <c r="A20" s="14">
        <v>10</v>
      </c>
      <c r="B20" s="224" t="s">
        <v>840</v>
      </c>
      <c r="C20" s="15">
        <v>739</v>
      </c>
      <c r="D20" s="15">
        <v>4</v>
      </c>
      <c r="E20" s="15">
        <v>0</v>
      </c>
      <c r="F20" s="535">
        <v>0</v>
      </c>
      <c r="G20" s="540">
        <f t="shared" si="0"/>
        <v>743</v>
      </c>
      <c r="H20" s="15">
        <v>739</v>
      </c>
      <c r="I20" s="15">
        <v>4</v>
      </c>
      <c r="J20" s="15">
        <v>0</v>
      </c>
      <c r="K20" s="15">
        <v>0</v>
      </c>
      <c r="L20" s="15">
        <f t="shared" si="1"/>
        <v>743</v>
      </c>
      <c r="M20" s="15">
        <f t="shared" si="2"/>
        <v>0</v>
      </c>
      <c r="N20" s="15"/>
      <c r="O20" s="12">
        <f>'AT3B_cvrg(Insti)_UPY '!G20+'AT3C_cvrg(Insti)_UPY '!G20</f>
        <v>432</v>
      </c>
    </row>
    <row r="21" spans="1:15" ht="12.75">
      <c r="A21" s="14">
        <v>11</v>
      </c>
      <c r="B21" s="224" t="s">
        <v>841</v>
      </c>
      <c r="C21" s="15">
        <v>1000</v>
      </c>
      <c r="D21" s="15">
        <v>0</v>
      </c>
      <c r="E21" s="15">
        <v>25</v>
      </c>
      <c r="F21" s="535">
        <v>0</v>
      </c>
      <c r="G21" s="540">
        <f t="shared" si="0"/>
        <v>1025</v>
      </c>
      <c r="H21" s="15">
        <v>1000</v>
      </c>
      <c r="I21" s="15">
        <v>0</v>
      </c>
      <c r="J21" s="15">
        <v>25</v>
      </c>
      <c r="K21" s="15">
        <v>0</v>
      </c>
      <c r="L21" s="15">
        <f t="shared" si="1"/>
        <v>1025</v>
      </c>
      <c r="M21" s="15">
        <f t="shared" si="2"/>
        <v>0</v>
      </c>
      <c r="N21" s="15"/>
      <c r="O21" s="12">
        <f>'AT3B_cvrg(Insti)_UPY '!G21+'AT3C_cvrg(Insti)_UPY '!G21</f>
        <v>508</v>
      </c>
    </row>
    <row r="22" spans="1:15" ht="12.75">
      <c r="A22" s="14">
        <v>12</v>
      </c>
      <c r="B22" s="224" t="s">
        <v>842</v>
      </c>
      <c r="C22" s="15">
        <v>976</v>
      </c>
      <c r="D22" s="15">
        <v>17</v>
      </c>
      <c r="E22" s="15">
        <v>12</v>
      </c>
      <c r="F22" s="535">
        <v>4</v>
      </c>
      <c r="G22" s="540">
        <f t="shared" si="0"/>
        <v>1009</v>
      </c>
      <c r="H22" s="15">
        <v>974</v>
      </c>
      <c r="I22" s="15">
        <v>17</v>
      </c>
      <c r="J22" s="15">
        <v>12</v>
      </c>
      <c r="K22" s="15">
        <v>4</v>
      </c>
      <c r="L22" s="15">
        <f t="shared" si="1"/>
        <v>1007</v>
      </c>
      <c r="M22" s="15">
        <f t="shared" si="2"/>
        <v>2</v>
      </c>
      <c r="N22" s="15" t="s">
        <v>861</v>
      </c>
      <c r="O22" s="12">
        <f>'AT3B_cvrg(Insti)_UPY '!G22+'AT3C_cvrg(Insti)_UPY '!G22</f>
        <v>590</v>
      </c>
    </row>
    <row r="23" spans="1:15" ht="12.75">
      <c r="A23" s="14">
        <v>13</v>
      </c>
      <c r="B23" s="224" t="s">
        <v>843</v>
      </c>
      <c r="C23" s="15">
        <v>441</v>
      </c>
      <c r="D23" s="15">
        <v>2</v>
      </c>
      <c r="E23" s="15">
        <v>0</v>
      </c>
      <c r="F23" s="535">
        <v>0</v>
      </c>
      <c r="G23" s="540">
        <f t="shared" si="0"/>
        <v>443</v>
      </c>
      <c r="H23" s="15">
        <v>441</v>
      </c>
      <c r="I23" s="15">
        <v>2</v>
      </c>
      <c r="J23" s="15">
        <v>0</v>
      </c>
      <c r="K23" s="15">
        <v>0</v>
      </c>
      <c r="L23" s="15">
        <f t="shared" si="1"/>
        <v>443</v>
      </c>
      <c r="M23" s="15">
        <f t="shared" si="2"/>
        <v>0</v>
      </c>
      <c r="N23" s="15"/>
      <c r="O23" s="12">
        <f>'AT3B_cvrg(Insti)_UPY '!G23+'AT3C_cvrg(Insti)_UPY '!G23</f>
        <v>257</v>
      </c>
    </row>
    <row r="24" spans="1:15" ht="12.75">
      <c r="A24" s="14">
        <v>14</v>
      </c>
      <c r="B24" s="224" t="s">
        <v>844</v>
      </c>
      <c r="C24" s="15">
        <v>406</v>
      </c>
      <c r="D24" s="15">
        <v>0</v>
      </c>
      <c r="E24" s="15">
        <v>0</v>
      </c>
      <c r="F24" s="535">
        <v>0</v>
      </c>
      <c r="G24" s="540">
        <f t="shared" si="0"/>
        <v>406</v>
      </c>
      <c r="H24" s="15">
        <v>406</v>
      </c>
      <c r="I24" s="15">
        <v>0</v>
      </c>
      <c r="J24" s="15">
        <v>0</v>
      </c>
      <c r="K24" s="15">
        <v>0</v>
      </c>
      <c r="L24" s="15">
        <f t="shared" si="1"/>
        <v>406</v>
      </c>
      <c r="M24" s="15">
        <f t="shared" si="2"/>
        <v>0</v>
      </c>
      <c r="N24" s="15"/>
      <c r="O24" s="12">
        <f>'AT3B_cvrg(Insti)_UPY '!G24+'AT3C_cvrg(Insti)_UPY '!G24</f>
        <v>317</v>
      </c>
    </row>
    <row r="25" spans="1:15" ht="12.75">
      <c r="A25" s="14">
        <v>15</v>
      </c>
      <c r="B25" s="224" t="s">
        <v>845</v>
      </c>
      <c r="C25" s="15">
        <v>1083</v>
      </c>
      <c r="D25" s="15">
        <v>0</v>
      </c>
      <c r="E25" s="15">
        <v>0</v>
      </c>
      <c r="F25" s="535">
        <v>0</v>
      </c>
      <c r="G25" s="540">
        <f t="shared" si="0"/>
        <v>1083</v>
      </c>
      <c r="H25" s="15">
        <v>1083</v>
      </c>
      <c r="I25" s="15">
        <v>0</v>
      </c>
      <c r="J25" s="15">
        <v>0</v>
      </c>
      <c r="K25" s="15">
        <v>0</v>
      </c>
      <c r="L25" s="15">
        <f t="shared" si="1"/>
        <v>1083</v>
      </c>
      <c r="M25" s="15">
        <f t="shared" si="2"/>
        <v>0</v>
      </c>
      <c r="N25" s="15"/>
      <c r="O25" s="12">
        <f>'AT3B_cvrg(Insti)_UPY '!G25+'AT3C_cvrg(Insti)_UPY '!G25</f>
        <v>711</v>
      </c>
    </row>
    <row r="26" spans="1:15" ht="12.75">
      <c r="A26" s="14">
        <v>16</v>
      </c>
      <c r="B26" s="224" t="s">
        <v>846</v>
      </c>
      <c r="C26" s="15">
        <v>2061</v>
      </c>
      <c r="D26" s="15">
        <v>5</v>
      </c>
      <c r="E26" s="15">
        <v>0</v>
      </c>
      <c r="F26" s="535">
        <v>0</v>
      </c>
      <c r="G26" s="540">
        <f t="shared" si="0"/>
        <v>2066</v>
      </c>
      <c r="H26" s="15">
        <v>2061</v>
      </c>
      <c r="I26" s="15">
        <v>5</v>
      </c>
      <c r="J26" s="15">
        <v>0</v>
      </c>
      <c r="K26" s="15">
        <v>0</v>
      </c>
      <c r="L26" s="15">
        <f t="shared" si="1"/>
        <v>2066</v>
      </c>
      <c r="M26" s="15">
        <f t="shared" si="2"/>
        <v>0</v>
      </c>
      <c r="N26" s="15"/>
      <c r="O26" s="12">
        <f>'AT3B_cvrg(Insti)_UPY '!G26+'AT3C_cvrg(Insti)_UPY '!G26</f>
        <v>1296</v>
      </c>
    </row>
    <row r="27" spans="1:15" ht="12.75">
      <c r="A27" s="14">
        <v>17</v>
      </c>
      <c r="B27" s="224" t="s">
        <v>847</v>
      </c>
      <c r="C27" s="15">
        <v>1217</v>
      </c>
      <c r="D27" s="15">
        <v>1</v>
      </c>
      <c r="E27" s="15">
        <v>0</v>
      </c>
      <c r="F27" s="535">
        <v>0</v>
      </c>
      <c r="G27" s="540">
        <f t="shared" si="0"/>
        <v>1218</v>
      </c>
      <c r="H27" s="15">
        <v>1217</v>
      </c>
      <c r="I27" s="15">
        <v>1</v>
      </c>
      <c r="J27" s="15">
        <v>0</v>
      </c>
      <c r="K27" s="15">
        <v>0</v>
      </c>
      <c r="L27" s="15">
        <f t="shared" si="1"/>
        <v>1218</v>
      </c>
      <c r="M27" s="15">
        <f t="shared" si="2"/>
        <v>0</v>
      </c>
      <c r="N27" s="15"/>
      <c r="O27" s="12">
        <f>'AT3B_cvrg(Insti)_UPY '!G27+'AT3C_cvrg(Insti)_UPY '!G27</f>
        <v>614</v>
      </c>
    </row>
    <row r="28" spans="1:15" ht="12.75">
      <c r="A28" s="14">
        <v>18</v>
      </c>
      <c r="B28" s="224" t="s">
        <v>848</v>
      </c>
      <c r="C28" s="15">
        <v>1171</v>
      </c>
      <c r="D28" s="15">
        <v>0</v>
      </c>
      <c r="E28" s="15">
        <v>0</v>
      </c>
      <c r="F28" s="535">
        <v>0</v>
      </c>
      <c r="G28" s="540">
        <f t="shared" si="0"/>
        <v>1171</v>
      </c>
      <c r="H28" s="15">
        <v>1171</v>
      </c>
      <c r="I28" s="15">
        <v>0</v>
      </c>
      <c r="J28" s="15">
        <v>0</v>
      </c>
      <c r="K28" s="15">
        <v>0</v>
      </c>
      <c r="L28" s="15">
        <f t="shared" si="1"/>
        <v>1171</v>
      </c>
      <c r="M28" s="15">
        <f t="shared" si="2"/>
        <v>0</v>
      </c>
      <c r="N28" s="15"/>
      <c r="O28" s="12">
        <f>'AT3B_cvrg(Insti)_UPY '!G28+'AT3C_cvrg(Insti)_UPY '!G28</f>
        <v>559</v>
      </c>
    </row>
    <row r="29" spans="1:15" ht="12.75">
      <c r="A29" s="14">
        <v>19</v>
      </c>
      <c r="B29" s="224" t="s">
        <v>849</v>
      </c>
      <c r="C29" s="15">
        <v>1637</v>
      </c>
      <c r="D29" s="15">
        <v>13</v>
      </c>
      <c r="E29" s="15">
        <v>26</v>
      </c>
      <c r="F29" s="535">
        <v>0</v>
      </c>
      <c r="G29" s="540">
        <f t="shared" si="0"/>
        <v>1676</v>
      </c>
      <c r="H29" s="15">
        <v>1637</v>
      </c>
      <c r="I29" s="15">
        <v>13</v>
      </c>
      <c r="J29" s="15">
        <v>26</v>
      </c>
      <c r="K29" s="15">
        <v>0</v>
      </c>
      <c r="L29" s="15">
        <f t="shared" si="1"/>
        <v>1676</v>
      </c>
      <c r="M29" s="15">
        <f t="shared" si="2"/>
        <v>0</v>
      </c>
      <c r="N29" s="15"/>
      <c r="O29" s="12">
        <f>'AT3B_cvrg(Insti)_UPY '!G29+'AT3C_cvrg(Insti)_UPY '!G29</f>
        <v>821</v>
      </c>
    </row>
    <row r="30" spans="1:15" ht="12.75">
      <c r="A30" s="14">
        <v>20</v>
      </c>
      <c r="B30" s="224" t="s">
        <v>850</v>
      </c>
      <c r="C30" s="15">
        <v>717</v>
      </c>
      <c r="D30" s="15">
        <v>1</v>
      </c>
      <c r="E30" s="15">
        <v>0</v>
      </c>
      <c r="F30" s="535">
        <v>0</v>
      </c>
      <c r="G30" s="540">
        <f t="shared" si="0"/>
        <v>718</v>
      </c>
      <c r="H30" s="15">
        <v>717</v>
      </c>
      <c r="I30" s="15">
        <v>1</v>
      </c>
      <c r="J30" s="15">
        <v>0</v>
      </c>
      <c r="K30" s="15">
        <v>0</v>
      </c>
      <c r="L30" s="15">
        <f t="shared" si="1"/>
        <v>718</v>
      </c>
      <c r="M30" s="15">
        <f t="shared" si="2"/>
        <v>0</v>
      </c>
      <c r="N30" s="15"/>
      <c r="O30" s="12">
        <f>'AT3B_cvrg(Insti)_UPY '!G30+'AT3C_cvrg(Insti)_UPY '!G30</f>
        <v>448</v>
      </c>
    </row>
    <row r="31" spans="1:15" ht="12.75">
      <c r="A31" s="14">
        <v>21</v>
      </c>
      <c r="B31" s="224" t="s">
        <v>851</v>
      </c>
      <c r="C31" s="15">
        <v>886</v>
      </c>
      <c r="D31" s="15">
        <v>3</v>
      </c>
      <c r="E31" s="15">
        <v>7</v>
      </c>
      <c r="F31" s="535">
        <v>0</v>
      </c>
      <c r="G31" s="540">
        <f t="shared" si="0"/>
        <v>896</v>
      </c>
      <c r="H31" s="15">
        <v>886</v>
      </c>
      <c r="I31" s="15">
        <v>3</v>
      </c>
      <c r="J31" s="15">
        <v>7</v>
      </c>
      <c r="K31" s="15">
        <v>0</v>
      </c>
      <c r="L31" s="15">
        <f t="shared" si="1"/>
        <v>896</v>
      </c>
      <c r="M31" s="15">
        <f t="shared" si="2"/>
        <v>0</v>
      </c>
      <c r="N31" s="15"/>
      <c r="O31" s="12">
        <f>'AT3B_cvrg(Insti)_UPY '!G31+'AT3C_cvrg(Insti)_UPY '!G31</f>
        <v>542</v>
      </c>
    </row>
    <row r="32" spans="1:15" ht="12.75">
      <c r="A32" s="14">
        <v>22</v>
      </c>
      <c r="B32" s="224" t="s">
        <v>852</v>
      </c>
      <c r="C32" s="15">
        <v>650</v>
      </c>
      <c r="D32" s="15">
        <v>5</v>
      </c>
      <c r="E32" s="15">
        <v>19</v>
      </c>
      <c r="F32" s="535">
        <v>0</v>
      </c>
      <c r="G32" s="540">
        <f t="shared" si="0"/>
        <v>674</v>
      </c>
      <c r="H32" s="15">
        <v>650</v>
      </c>
      <c r="I32" s="15">
        <v>5</v>
      </c>
      <c r="J32" s="15">
        <v>19</v>
      </c>
      <c r="K32" s="15">
        <v>0</v>
      </c>
      <c r="L32" s="15">
        <f t="shared" si="1"/>
        <v>674</v>
      </c>
      <c r="M32" s="15">
        <f t="shared" si="2"/>
        <v>0</v>
      </c>
      <c r="N32" s="15"/>
      <c r="O32" s="12">
        <f>'AT3B_cvrg(Insti)_UPY '!G32+'AT3C_cvrg(Insti)_UPY '!G32</f>
        <v>387</v>
      </c>
    </row>
    <row r="33" spans="1:15" ht="12.75">
      <c r="A33" s="14">
        <v>23</v>
      </c>
      <c r="B33" s="224" t="s">
        <v>853</v>
      </c>
      <c r="C33" s="15">
        <v>1053</v>
      </c>
      <c r="D33" s="15">
        <v>0</v>
      </c>
      <c r="E33" s="15">
        <v>0</v>
      </c>
      <c r="F33" s="535">
        <v>0</v>
      </c>
      <c r="G33" s="540">
        <f t="shared" si="0"/>
        <v>1053</v>
      </c>
      <c r="H33" s="15">
        <v>1053</v>
      </c>
      <c r="I33" s="15">
        <v>0</v>
      </c>
      <c r="J33" s="15">
        <v>0</v>
      </c>
      <c r="K33" s="15">
        <v>0</v>
      </c>
      <c r="L33" s="15">
        <f t="shared" si="1"/>
        <v>1053</v>
      </c>
      <c r="M33" s="15">
        <f t="shared" si="2"/>
        <v>0</v>
      </c>
      <c r="N33" s="15"/>
      <c r="O33" s="12">
        <f>'AT3B_cvrg(Insti)_UPY '!G33+'AT3C_cvrg(Insti)_UPY '!G33</f>
        <v>674</v>
      </c>
    </row>
    <row r="34" spans="1:15" ht="12.75">
      <c r="A34" s="14">
        <v>24</v>
      </c>
      <c r="B34" s="224" t="s">
        <v>854</v>
      </c>
      <c r="C34" s="15">
        <v>1435</v>
      </c>
      <c r="D34" s="15">
        <v>0</v>
      </c>
      <c r="E34" s="15">
        <v>0</v>
      </c>
      <c r="F34" s="535">
        <v>0</v>
      </c>
      <c r="G34" s="540">
        <f t="shared" si="0"/>
        <v>1435</v>
      </c>
      <c r="H34" s="15">
        <v>1435</v>
      </c>
      <c r="I34" s="15">
        <v>0</v>
      </c>
      <c r="J34" s="15">
        <v>0</v>
      </c>
      <c r="K34" s="15">
        <v>0</v>
      </c>
      <c r="L34" s="15">
        <f>SUM(H34:K34)</f>
        <v>1435</v>
      </c>
      <c r="M34" s="15">
        <f t="shared" si="2"/>
        <v>0</v>
      </c>
      <c r="N34" s="15"/>
      <c r="O34" s="12">
        <f>'AT3B_cvrg(Insti)_UPY '!G34+'AT3C_cvrg(Insti)_UPY '!G34</f>
        <v>657</v>
      </c>
    </row>
    <row r="35" spans="1:14" s="11" customFormat="1" ht="12.75">
      <c r="A35" s="560" t="s">
        <v>13</v>
      </c>
      <c r="B35" s="561"/>
      <c r="C35" s="244">
        <f aca="true" t="shared" si="3" ref="C35:M35">SUM(C11:C34)</f>
        <v>24451</v>
      </c>
      <c r="D35" s="244">
        <f t="shared" si="3"/>
        <v>509</v>
      </c>
      <c r="E35" s="244">
        <f t="shared" si="3"/>
        <v>148</v>
      </c>
      <c r="F35" s="244">
        <f t="shared" si="3"/>
        <v>5</v>
      </c>
      <c r="G35" s="244">
        <f t="shared" si="3"/>
        <v>25113</v>
      </c>
      <c r="H35" s="23">
        <f t="shared" si="3"/>
        <v>24440</v>
      </c>
      <c r="I35" s="23">
        <f t="shared" si="3"/>
        <v>509</v>
      </c>
      <c r="J35" s="23">
        <f t="shared" si="3"/>
        <v>148</v>
      </c>
      <c r="K35" s="23">
        <f t="shared" si="3"/>
        <v>5</v>
      </c>
      <c r="L35" s="23">
        <f t="shared" si="3"/>
        <v>25102</v>
      </c>
      <c r="M35" s="23">
        <f t="shared" si="3"/>
        <v>11</v>
      </c>
      <c r="N35" s="23"/>
    </row>
    <row r="36" spans="1:13" ht="12.75">
      <c r="A36" s="9"/>
      <c r="B36" s="17"/>
      <c r="C36" s="17"/>
      <c r="D36" s="17"/>
      <c r="E36" s="17"/>
      <c r="F36" s="17"/>
      <c r="G36" s="17"/>
      <c r="H36" s="17"/>
      <c r="I36" s="17"/>
      <c r="J36" s="17"/>
      <c r="K36" s="17"/>
      <c r="L36" s="17"/>
      <c r="M36" s="17"/>
    </row>
    <row r="37" spans="1:6" ht="12.75">
      <c r="A37" s="16" t="s">
        <v>6</v>
      </c>
      <c r="F37" s="288"/>
    </row>
    <row r="38" ht="12.75">
      <c r="A38" s="12" t="s">
        <v>7</v>
      </c>
    </row>
    <row r="39" spans="1:12" ht="12.75">
      <c r="A39" s="12" t="s">
        <v>8</v>
      </c>
      <c r="J39" s="9" t="s">
        <v>9</v>
      </c>
      <c r="K39" s="9"/>
      <c r="L39" s="9" t="s">
        <v>9</v>
      </c>
    </row>
    <row r="40" spans="1:12" ht="12.75">
      <c r="A40" s="12" t="s">
        <v>430</v>
      </c>
      <c r="J40" s="9"/>
      <c r="K40" s="9"/>
      <c r="L40" s="9"/>
    </row>
    <row r="41" spans="3:13" ht="12.75">
      <c r="C41" s="12" t="s">
        <v>431</v>
      </c>
      <c r="E41" s="17"/>
      <c r="F41" s="17"/>
      <c r="G41" s="17"/>
      <c r="H41" s="17"/>
      <c r="I41" s="17"/>
      <c r="J41" s="17"/>
      <c r="K41" s="17"/>
      <c r="L41" s="17"/>
      <c r="M41" s="17"/>
    </row>
    <row r="42" spans="5:13" ht="12.75">
      <c r="E42" s="17"/>
      <c r="F42" s="17"/>
      <c r="G42" s="17"/>
      <c r="H42" s="17"/>
      <c r="I42" s="17"/>
      <c r="J42" s="17"/>
      <c r="K42" s="17"/>
      <c r="L42" s="17"/>
      <c r="M42" s="17"/>
    </row>
    <row r="43" spans="5:13" ht="12.75">
      <c r="E43" s="17"/>
      <c r="F43" s="17"/>
      <c r="G43" s="17"/>
      <c r="H43" s="17"/>
      <c r="I43" s="17"/>
      <c r="J43" s="17"/>
      <c r="K43" s="17"/>
      <c r="L43" s="17"/>
      <c r="M43" s="17"/>
    </row>
    <row r="44" spans="5:13" ht="12.75">
      <c r="E44" s="17"/>
      <c r="F44" s="17"/>
      <c r="G44" s="17"/>
      <c r="H44" s="17"/>
      <c r="I44" s="17"/>
      <c r="J44" s="17"/>
      <c r="K44" s="17"/>
      <c r="L44" s="17"/>
      <c r="M44" s="17"/>
    </row>
    <row r="45" spans="5:13" ht="12.75">
      <c r="E45" s="17"/>
      <c r="F45" s="17"/>
      <c r="G45" s="17"/>
      <c r="H45" s="17"/>
      <c r="I45" s="17"/>
      <c r="J45" s="17"/>
      <c r="K45" s="17"/>
      <c r="L45" s="17"/>
      <c r="M45" s="17"/>
    </row>
    <row r="46" spans="1:15" ht="15.75">
      <c r="A46" s="10"/>
      <c r="B46" s="10"/>
      <c r="C46" s="10"/>
      <c r="D46" s="10"/>
      <c r="E46" s="10"/>
      <c r="F46" s="10"/>
      <c r="G46" s="10"/>
      <c r="J46" s="11"/>
      <c r="K46" s="345"/>
      <c r="L46" s="345"/>
      <c r="M46" s="345"/>
      <c r="N46" s="345"/>
      <c r="O46" s="345"/>
    </row>
    <row r="47" spans="1:14" ht="15.75">
      <c r="A47" s="559" t="s">
        <v>989</v>
      </c>
      <c r="B47" s="559"/>
      <c r="C47" s="559"/>
      <c r="F47" s="559" t="s">
        <v>990</v>
      </c>
      <c r="G47" s="559"/>
      <c r="H47" s="559"/>
      <c r="I47" s="345"/>
      <c r="J47" s="345"/>
      <c r="K47" s="345"/>
      <c r="L47" s="559" t="s">
        <v>996</v>
      </c>
      <c r="M47" s="559"/>
      <c r="N47" s="559"/>
    </row>
    <row r="48" spans="1:14" ht="15.75">
      <c r="A48" s="559" t="s">
        <v>991</v>
      </c>
      <c r="B48" s="559"/>
      <c r="C48" s="559"/>
      <c r="F48" s="559" t="s">
        <v>992</v>
      </c>
      <c r="G48" s="559"/>
      <c r="H48" s="559"/>
      <c r="I48" s="345"/>
      <c r="J48" s="345"/>
      <c r="K48" s="345"/>
      <c r="L48" s="559" t="s">
        <v>993</v>
      </c>
      <c r="M48" s="559"/>
      <c r="N48" s="559"/>
    </row>
    <row r="49" spans="1:14" ht="12.75">
      <c r="A49" s="559" t="s">
        <v>994</v>
      </c>
      <c r="B49" s="559"/>
      <c r="C49" s="559"/>
      <c r="F49" s="559" t="s">
        <v>995</v>
      </c>
      <c r="G49" s="559"/>
      <c r="H49" s="559"/>
      <c r="K49" s="29"/>
      <c r="L49" s="559" t="s">
        <v>995</v>
      </c>
      <c r="M49" s="559"/>
      <c r="N49" s="559"/>
    </row>
    <row r="50" spans="1:13" ht="12.75">
      <c r="A50" s="687"/>
      <c r="B50" s="687"/>
      <c r="C50" s="687"/>
      <c r="D50" s="687"/>
      <c r="E50" s="687"/>
      <c r="F50" s="687"/>
      <c r="G50" s="687"/>
      <c r="H50" s="687"/>
      <c r="I50" s="687"/>
      <c r="J50" s="687"/>
      <c r="K50" s="687"/>
      <c r="L50" s="687"/>
      <c r="M50" s="687"/>
    </row>
  </sheetData>
  <sheetProtection/>
  <mergeCells count="24">
    <mergeCell ref="B8:B9"/>
    <mergeCell ref="A8:A9"/>
    <mergeCell ref="A50:M50"/>
    <mergeCell ref="H8:L8"/>
    <mergeCell ref="A47:C47"/>
    <mergeCell ref="A35:B35"/>
    <mergeCell ref="L47:N47"/>
    <mergeCell ref="A48:C48"/>
    <mergeCell ref="L49:N49"/>
    <mergeCell ref="F49:H49"/>
    <mergeCell ref="L48:N48"/>
    <mergeCell ref="A49:C49"/>
    <mergeCell ref="F47:H47"/>
    <mergeCell ref="F48:H48"/>
    <mergeCell ref="D1:I1"/>
    <mergeCell ref="L1:M1"/>
    <mergeCell ref="A3:N3"/>
    <mergeCell ref="C8:G8"/>
    <mergeCell ref="A4:N4"/>
    <mergeCell ref="L6:N6"/>
    <mergeCell ref="A2:N2"/>
    <mergeCell ref="M8:M9"/>
    <mergeCell ref="N8:N9"/>
    <mergeCell ref="A6:B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S49"/>
  <sheetViews>
    <sheetView view="pageBreakPreview" zoomScale="85" zoomScaleSheetLayoutView="85" zoomScalePageLayoutView="0" workbookViewId="0" topLeftCell="A1">
      <selection activeCell="O44" sqref="O44"/>
    </sheetView>
  </sheetViews>
  <sheetFormatPr defaultColWidth="9.140625" defaultRowHeight="12.75"/>
  <cols>
    <col min="1" max="1" width="7.57421875" style="12" customWidth="1"/>
    <col min="2" max="2" width="15.421875" style="12" bestFit="1" customWidth="1"/>
    <col min="3" max="14" width="10.421875" style="12" customWidth="1"/>
    <col min="15" max="16384" width="9.140625" style="12" customWidth="1"/>
  </cols>
  <sheetData>
    <row r="1" spans="4:13" ht="15">
      <c r="D1" s="594"/>
      <c r="E1" s="594"/>
      <c r="F1" s="594"/>
      <c r="G1" s="594"/>
      <c r="H1" s="594"/>
      <c r="I1" s="594"/>
      <c r="J1" s="594"/>
      <c r="K1" s="1"/>
      <c r="M1" s="81" t="s">
        <v>82</v>
      </c>
    </row>
    <row r="2" spans="1:14" ht="15">
      <c r="A2" s="684" t="s">
        <v>0</v>
      </c>
      <c r="B2" s="684"/>
      <c r="C2" s="684"/>
      <c r="D2" s="684"/>
      <c r="E2" s="684"/>
      <c r="F2" s="684"/>
      <c r="G2" s="684"/>
      <c r="H2" s="684"/>
      <c r="I2" s="684"/>
      <c r="J2" s="684"/>
      <c r="K2" s="684"/>
      <c r="L2" s="684"/>
      <c r="M2" s="684"/>
      <c r="N2" s="684"/>
    </row>
    <row r="3" spans="1:14" ht="20.25">
      <c r="A3" s="591" t="s">
        <v>645</v>
      </c>
      <c r="B3" s="591"/>
      <c r="C3" s="591"/>
      <c r="D3" s="591"/>
      <c r="E3" s="591"/>
      <c r="F3" s="591"/>
      <c r="G3" s="591"/>
      <c r="H3" s="591"/>
      <c r="I3" s="591"/>
      <c r="J3" s="591"/>
      <c r="K3" s="591"/>
      <c r="L3" s="591"/>
      <c r="M3" s="591"/>
      <c r="N3" s="591"/>
    </row>
    <row r="5" spans="1:14" ht="15.75">
      <c r="A5" s="592" t="s">
        <v>652</v>
      </c>
      <c r="B5" s="592"/>
      <c r="C5" s="592"/>
      <c r="D5" s="592"/>
      <c r="E5" s="592"/>
      <c r="F5" s="592"/>
      <c r="G5" s="592"/>
      <c r="H5" s="592"/>
      <c r="I5" s="592"/>
      <c r="J5" s="592"/>
      <c r="K5" s="592"/>
      <c r="L5" s="592"/>
      <c r="M5" s="592"/>
      <c r="N5" s="592"/>
    </row>
    <row r="7" spans="1:14" ht="12.75">
      <c r="A7" s="593" t="s">
        <v>956</v>
      </c>
      <c r="B7" s="593"/>
      <c r="L7" s="683" t="s">
        <v>959</v>
      </c>
      <c r="M7" s="683"/>
      <c r="N7" s="683"/>
    </row>
    <row r="8" spans="1:14" ht="12.75">
      <c r="A8" s="685" t="s">
        <v>1</v>
      </c>
      <c r="B8" s="685" t="s">
        <v>2</v>
      </c>
      <c r="C8" s="572" t="s">
        <v>3</v>
      </c>
      <c r="D8" s="572"/>
      <c r="E8" s="572"/>
      <c r="F8" s="572"/>
      <c r="G8" s="572"/>
      <c r="H8" s="572" t="s">
        <v>95</v>
      </c>
      <c r="I8" s="572"/>
      <c r="J8" s="572"/>
      <c r="K8" s="572"/>
      <c r="L8" s="572"/>
      <c r="M8" s="685" t="s">
        <v>130</v>
      </c>
      <c r="N8" s="573" t="s">
        <v>131</v>
      </c>
    </row>
    <row r="9" spans="1:19" ht="38.25">
      <c r="A9" s="686"/>
      <c r="B9" s="686"/>
      <c r="C9" s="5" t="s">
        <v>4</v>
      </c>
      <c r="D9" s="5" t="s">
        <v>5</v>
      </c>
      <c r="E9" s="5" t="s">
        <v>358</v>
      </c>
      <c r="F9" s="5" t="s">
        <v>93</v>
      </c>
      <c r="G9" s="5" t="s">
        <v>205</v>
      </c>
      <c r="H9" s="5" t="s">
        <v>4</v>
      </c>
      <c r="I9" s="5" t="s">
        <v>5</v>
      </c>
      <c r="J9" s="5" t="s">
        <v>358</v>
      </c>
      <c r="K9" s="5" t="s">
        <v>93</v>
      </c>
      <c r="L9" s="5" t="s">
        <v>204</v>
      </c>
      <c r="M9" s="686"/>
      <c r="N9" s="573"/>
      <c r="R9" s="15"/>
      <c r="S9" s="17"/>
    </row>
    <row r="10" spans="1:14" s="11" customFormat="1" ht="12.75">
      <c r="A10" s="5">
        <v>1</v>
      </c>
      <c r="B10" s="5">
        <v>2</v>
      </c>
      <c r="C10" s="5">
        <v>3</v>
      </c>
      <c r="D10" s="5">
        <v>4</v>
      </c>
      <c r="E10" s="5">
        <v>5</v>
      </c>
      <c r="F10" s="5">
        <v>6</v>
      </c>
      <c r="G10" s="5">
        <v>7</v>
      </c>
      <c r="H10" s="5">
        <v>8</v>
      </c>
      <c r="I10" s="5">
        <v>9</v>
      </c>
      <c r="J10" s="5">
        <v>10</v>
      </c>
      <c r="K10" s="5">
        <v>11</v>
      </c>
      <c r="L10" s="5">
        <v>12</v>
      </c>
      <c r="M10" s="5">
        <v>13</v>
      </c>
      <c r="N10" s="5">
        <v>14</v>
      </c>
    </row>
    <row r="11" spans="1:15" ht="12.75">
      <c r="A11" s="14">
        <v>1</v>
      </c>
      <c r="B11" s="224" t="s">
        <v>831</v>
      </c>
      <c r="C11" s="15">
        <v>794</v>
      </c>
      <c r="D11" s="15">
        <v>54</v>
      </c>
      <c r="E11" s="15">
        <v>0</v>
      </c>
      <c r="F11" s="535">
        <v>2</v>
      </c>
      <c r="G11" s="540">
        <f aca="true" t="shared" si="0" ref="G11:G34">SUM(C11:F11)</f>
        <v>850</v>
      </c>
      <c r="H11" s="15">
        <v>794</v>
      </c>
      <c r="I11" s="15">
        <v>54</v>
      </c>
      <c r="J11" s="15">
        <v>0</v>
      </c>
      <c r="K11" s="15">
        <v>2</v>
      </c>
      <c r="L11" s="15">
        <f aca="true" t="shared" si="1" ref="L11:L34">SUM(H11:K11)</f>
        <v>850</v>
      </c>
      <c r="M11" s="15">
        <f>G11-L11</f>
        <v>0</v>
      </c>
      <c r="N11" s="15"/>
      <c r="O11" s="12">
        <f>G11+'AT3C_cvrg(Insti)_UPY '!G11</f>
        <v>902</v>
      </c>
    </row>
    <row r="12" spans="1:15" ht="12.75">
      <c r="A12" s="14">
        <v>2</v>
      </c>
      <c r="B12" s="224" t="s">
        <v>832</v>
      </c>
      <c r="C12" s="15">
        <v>287</v>
      </c>
      <c r="D12" s="15">
        <v>32</v>
      </c>
      <c r="E12" s="15">
        <v>0</v>
      </c>
      <c r="F12" s="535">
        <v>0</v>
      </c>
      <c r="G12" s="540">
        <f t="shared" si="0"/>
        <v>319</v>
      </c>
      <c r="H12" s="15">
        <v>287</v>
      </c>
      <c r="I12" s="15">
        <v>32</v>
      </c>
      <c r="J12" s="15">
        <v>0</v>
      </c>
      <c r="K12" s="15">
        <v>0</v>
      </c>
      <c r="L12" s="15">
        <f t="shared" si="1"/>
        <v>319</v>
      </c>
      <c r="M12" s="15">
        <f aca="true" t="shared" si="2" ref="M12:M34">G12-L12</f>
        <v>0</v>
      </c>
      <c r="N12" s="15"/>
      <c r="O12" s="12">
        <f>G12+'AT3C_cvrg(Insti)_UPY '!G12</f>
        <v>337</v>
      </c>
    </row>
    <row r="13" spans="1:15" ht="12.75">
      <c r="A13" s="14">
        <v>3</v>
      </c>
      <c r="B13" s="224" t="s">
        <v>833</v>
      </c>
      <c r="C13" s="15">
        <v>208</v>
      </c>
      <c r="D13" s="15">
        <v>4</v>
      </c>
      <c r="E13" s="15">
        <v>0</v>
      </c>
      <c r="F13" s="535">
        <v>0</v>
      </c>
      <c r="G13" s="540">
        <f t="shared" si="0"/>
        <v>212</v>
      </c>
      <c r="H13" s="15">
        <v>208</v>
      </c>
      <c r="I13" s="15">
        <v>4</v>
      </c>
      <c r="J13" s="15">
        <v>0</v>
      </c>
      <c r="K13" s="15">
        <v>0</v>
      </c>
      <c r="L13" s="15">
        <f t="shared" si="1"/>
        <v>212</v>
      </c>
      <c r="M13" s="15">
        <f t="shared" si="2"/>
        <v>0</v>
      </c>
      <c r="N13" s="15"/>
      <c r="O13" s="12">
        <f>G13+'AT3C_cvrg(Insti)_UPY '!G13</f>
        <v>218</v>
      </c>
    </row>
    <row r="14" spans="1:15" ht="12.75">
      <c r="A14" s="14">
        <v>4</v>
      </c>
      <c r="B14" s="224" t="s">
        <v>834</v>
      </c>
      <c r="C14" s="15">
        <v>568</v>
      </c>
      <c r="D14" s="15">
        <v>45</v>
      </c>
      <c r="E14" s="15">
        <v>0</v>
      </c>
      <c r="F14" s="535">
        <v>1</v>
      </c>
      <c r="G14" s="540">
        <f t="shared" si="0"/>
        <v>614</v>
      </c>
      <c r="H14" s="15">
        <v>568</v>
      </c>
      <c r="I14" s="15">
        <v>45</v>
      </c>
      <c r="J14" s="15">
        <v>0</v>
      </c>
      <c r="K14" s="15">
        <v>1</v>
      </c>
      <c r="L14" s="15">
        <f t="shared" si="1"/>
        <v>614</v>
      </c>
      <c r="M14" s="15">
        <f t="shared" si="2"/>
        <v>0</v>
      </c>
      <c r="N14" s="15"/>
      <c r="O14" s="12">
        <f>G14+'AT3C_cvrg(Insti)_UPY '!G14</f>
        <v>641</v>
      </c>
    </row>
    <row r="15" spans="1:15" ht="12.75">
      <c r="A15" s="14">
        <v>5</v>
      </c>
      <c r="B15" s="224" t="s">
        <v>835</v>
      </c>
      <c r="C15" s="15">
        <v>320</v>
      </c>
      <c r="D15" s="15">
        <v>59</v>
      </c>
      <c r="E15" s="15">
        <v>0</v>
      </c>
      <c r="F15" s="535">
        <v>0</v>
      </c>
      <c r="G15" s="540">
        <f>SUM(C15:F15)</f>
        <v>379</v>
      </c>
      <c r="H15" s="15">
        <v>320</v>
      </c>
      <c r="I15" s="15">
        <v>59</v>
      </c>
      <c r="J15" s="15">
        <v>0</v>
      </c>
      <c r="K15" s="15">
        <v>0</v>
      </c>
      <c r="L15" s="15">
        <f>SUM(H15:K15)</f>
        <v>379</v>
      </c>
      <c r="M15" s="15">
        <f t="shared" si="2"/>
        <v>0</v>
      </c>
      <c r="N15" s="15"/>
      <c r="O15" s="12">
        <f>G15+'AT3C_cvrg(Insti)_UPY '!G15</f>
        <v>417</v>
      </c>
    </row>
    <row r="16" spans="1:15" ht="12.75">
      <c r="A16" s="14">
        <v>6</v>
      </c>
      <c r="B16" s="224" t="s">
        <v>836</v>
      </c>
      <c r="C16" s="15">
        <v>606</v>
      </c>
      <c r="D16" s="15">
        <v>47</v>
      </c>
      <c r="E16" s="15">
        <v>0</v>
      </c>
      <c r="F16" s="535">
        <v>2</v>
      </c>
      <c r="G16" s="540">
        <f t="shared" si="0"/>
        <v>655</v>
      </c>
      <c r="H16" s="15">
        <v>606</v>
      </c>
      <c r="I16" s="15">
        <v>47</v>
      </c>
      <c r="J16" s="15">
        <v>0</v>
      </c>
      <c r="K16" s="15">
        <v>2</v>
      </c>
      <c r="L16" s="15">
        <f t="shared" si="1"/>
        <v>655</v>
      </c>
      <c r="M16" s="15">
        <f t="shared" si="2"/>
        <v>0</v>
      </c>
      <c r="N16" s="15"/>
      <c r="O16" s="12">
        <f>G16+'AT3C_cvrg(Insti)_UPY '!G16</f>
        <v>683</v>
      </c>
    </row>
    <row r="17" spans="1:15" ht="12.75">
      <c r="A17" s="14">
        <v>7</v>
      </c>
      <c r="B17" s="224" t="s">
        <v>837</v>
      </c>
      <c r="C17" s="15">
        <v>603</v>
      </c>
      <c r="D17" s="15">
        <v>0</v>
      </c>
      <c r="E17" s="15">
        <v>0</v>
      </c>
      <c r="F17" s="535">
        <v>0</v>
      </c>
      <c r="G17" s="540">
        <f t="shared" si="0"/>
        <v>603</v>
      </c>
      <c r="H17" s="15">
        <v>603</v>
      </c>
      <c r="I17" s="15">
        <v>0</v>
      </c>
      <c r="J17" s="15">
        <v>0</v>
      </c>
      <c r="K17" s="15">
        <v>0</v>
      </c>
      <c r="L17" s="15">
        <f t="shared" si="1"/>
        <v>603</v>
      </c>
      <c r="M17" s="15">
        <f t="shared" si="2"/>
        <v>0</v>
      </c>
      <c r="N17" s="15"/>
      <c r="O17" s="12">
        <f>G17+'AT3C_cvrg(Insti)_UPY '!G17</f>
        <v>612</v>
      </c>
    </row>
    <row r="18" spans="1:15" ht="12.75">
      <c r="A18" s="14">
        <v>8</v>
      </c>
      <c r="B18" s="224" t="s">
        <v>838</v>
      </c>
      <c r="C18" s="15">
        <v>664</v>
      </c>
      <c r="D18" s="15">
        <v>21</v>
      </c>
      <c r="E18" s="15">
        <v>0</v>
      </c>
      <c r="F18" s="535">
        <v>1</v>
      </c>
      <c r="G18" s="540">
        <f t="shared" si="0"/>
        <v>686</v>
      </c>
      <c r="H18" s="15">
        <v>664</v>
      </c>
      <c r="I18" s="15">
        <v>21</v>
      </c>
      <c r="J18" s="15">
        <v>0</v>
      </c>
      <c r="K18" s="15">
        <v>1</v>
      </c>
      <c r="L18" s="15">
        <f t="shared" si="1"/>
        <v>686</v>
      </c>
      <c r="M18" s="15">
        <f t="shared" si="2"/>
        <v>0</v>
      </c>
      <c r="N18" s="15"/>
      <c r="O18" s="12">
        <f>G18+'AT3C_cvrg(Insti)_UPY '!G18</f>
        <v>705</v>
      </c>
    </row>
    <row r="19" spans="1:15" ht="12.75">
      <c r="A19" s="14">
        <v>9</v>
      </c>
      <c r="B19" s="224" t="s">
        <v>839</v>
      </c>
      <c r="C19" s="15">
        <v>1290</v>
      </c>
      <c r="D19" s="15">
        <v>3</v>
      </c>
      <c r="E19" s="15">
        <v>0</v>
      </c>
      <c r="F19" s="535">
        <v>3</v>
      </c>
      <c r="G19" s="540">
        <f t="shared" si="0"/>
        <v>1296</v>
      </c>
      <c r="H19" s="15">
        <v>1290</v>
      </c>
      <c r="I19" s="15">
        <v>3</v>
      </c>
      <c r="J19" s="15">
        <v>0</v>
      </c>
      <c r="K19" s="15">
        <v>3</v>
      </c>
      <c r="L19" s="15">
        <f t="shared" si="1"/>
        <v>1296</v>
      </c>
      <c r="M19" s="15">
        <f t="shared" si="2"/>
        <v>0</v>
      </c>
      <c r="N19" s="15"/>
      <c r="O19" s="12">
        <f>G19+'AT3C_cvrg(Insti)_UPY '!G19</f>
        <v>1299</v>
      </c>
    </row>
    <row r="20" spans="1:15" ht="12.75">
      <c r="A20" s="14">
        <v>10</v>
      </c>
      <c r="B20" s="224" t="s">
        <v>840</v>
      </c>
      <c r="C20" s="15">
        <v>418</v>
      </c>
      <c r="D20" s="15">
        <v>6</v>
      </c>
      <c r="E20" s="15">
        <v>0</v>
      </c>
      <c r="F20" s="535">
        <v>0</v>
      </c>
      <c r="G20" s="540">
        <f t="shared" si="0"/>
        <v>424</v>
      </c>
      <c r="H20" s="15">
        <v>418</v>
      </c>
      <c r="I20" s="15">
        <v>6</v>
      </c>
      <c r="J20" s="15">
        <v>0</v>
      </c>
      <c r="K20" s="15">
        <v>0</v>
      </c>
      <c r="L20" s="15">
        <f t="shared" si="1"/>
        <v>424</v>
      </c>
      <c r="M20" s="15">
        <f t="shared" si="2"/>
        <v>0</v>
      </c>
      <c r="N20" s="15"/>
      <c r="O20" s="12">
        <f>G20+'AT3C_cvrg(Insti)_UPY '!G20</f>
        <v>432</v>
      </c>
    </row>
    <row r="21" spans="1:15" ht="12.75">
      <c r="A21" s="14">
        <v>11</v>
      </c>
      <c r="B21" s="224" t="s">
        <v>841</v>
      </c>
      <c r="C21" s="15">
        <v>503</v>
      </c>
      <c r="D21" s="15">
        <v>4</v>
      </c>
      <c r="E21" s="15">
        <v>0</v>
      </c>
      <c r="F21" s="535">
        <v>1</v>
      </c>
      <c r="G21" s="540">
        <f t="shared" si="0"/>
        <v>508</v>
      </c>
      <c r="H21" s="15">
        <v>503</v>
      </c>
      <c r="I21" s="15">
        <v>4</v>
      </c>
      <c r="J21" s="15">
        <v>0</v>
      </c>
      <c r="K21" s="15">
        <v>1</v>
      </c>
      <c r="L21" s="15">
        <f t="shared" si="1"/>
        <v>508</v>
      </c>
      <c r="M21" s="15">
        <f t="shared" si="2"/>
        <v>0</v>
      </c>
      <c r="N21" s="15"/>
      <c r="O21" s="12">
        <f>G21+'AT3C_cvrg(Insti)_UPY '!G21</f>
        <v>508</v>
      </c>
    </row>
    <row r="22" spans="1:15" ht="12.75">
      <c r="A22" s="14">
        <v>12</v>
      </c>
      <c r="B22" s="224" t="s">
        <v>842</v>
      </c>
      <c r="C22" s="15">
        <v>567</v>
      </c>
      <c r="D22" s="15">
        <v>6</v>
      </c>
      <c r="E22" s="15">
        <v>0</v>
      </c>
      <c r="F22" s="535">
        <v>6</v>
      </c>
      <c r="G22" s="540">
        <f t="shared" si="0"/>
        <v>579</v>
      </c>
      <c r="H22" s="15">
        <v>567</v>
      </c>
      <c r="I22" s="15">
        <v>6</v>
      </c>
      <c r="J22" s="15">
        <v>0</v>
      </c>
      <c r="K22" s="15">
        <v>6</v>
      </c>
      <c r="L22" s="15">
        <f t="shared" si="1"/>
        <v>579</v>
      </c>
      <c r="M22" s="15">
        <f t="shared" si="2"/>
        <v>0</v>
      </c>
      <c r="N22" s="15"/>
      <c r="O22" s="12">
        <f>G22+'AT3C_cvrg(Insti)_UPY '!G22</f>
        <v>590</v>
      </c>
    </row>
    <row r="23" spans="1:15" ht="12.75">
      <c r="A23" s="14">
        <v>13</v>
      </c>
      <c r="B23" s="224" t="s">
        <v>843</v>
      </c>
      <c r="C23" s="15">
        <v>255</v>
      </c>
      <c r="D23" s="15">
        <v>1</v>
      </c>
      <c r="E23" s="15">
        <v>0</v>
      </c>
      <c r="F23" s="535">
        <v>1</v>
      </c>
      <c r="G23" s="540">
        <f t="shared" si="0"/>
        <v>257</v>
      </c>
      <c r="H23" s="15">
        <v>255</v>
      </c>
      <c r="I23" s="15">
        <v>1</v>
      </c>
      <c r="J23" s="15">
        <v>0</v>
      </c>
      <c r="K23" s="15">
        <v>1</v>
      </c>
      <c r="L23" s="15">
        <f t="shared" si="1"/>
        <v>257</v>
      </c>
      <c r="M23" s="15">
        <f t="shared" si="2"/>
        <v>0</v>
      </c>
      <c r="N23" s="15"/>
      <c r="O23" s="12">
        <f>G23+'AT3C_cvrg(Insti)_UPY '!G23</f>
        <v>257</v>
      </c>
    </row>
    <row r="24" spans="1:15" ht="12.75">
      <c r="A24" s="14">
        <v>14</v>
      </c>
      <c r="B24" s="224" t="s">
        <v>844</v>
      </c>
      <c r="C24" s="15">
        <v>314</v>
      </c>
      <c r="D24" s="15">
        <v>0</v>
      </c>
      <c r="E24" s="15">
        <v>0</v>
      </c>
      <c r="F24" s="535">
        <v>0</v>
      </c>
      <c r="G24" s="540">
        <f t="shared" si="0"/>
        <v>314</v>
      </c>
      <c r="H24" s="15">
        <v>314</v>
      </c>
      <c r="I24" s="15">
        <v>0</v>
      </c>
      <c r="J24" s="15">
        <v>0</v>
      </c>
      <c r="K24" s="15">
        <v>0</v>
      </c>
      <c r="L24" s="15">
        <f t="shared" si="1"/>
        <v>314</v>
      </c>
      <c r="M24" s="15">
        <f t="shared" si="2"/>
        <v>0</v>
      </c>
      <c r="N24" s="15"/>
      <c r="O24" s="12">
        <f>G24+'AT3C_cvrg(Insti)_UPY '!G24</f>
        <v>317</v>
      </c>
    </row>
    <row r="25" spans="1:15" ht="12.75">
      <c r="A25" s="14">
        <v>15</v>
      </c>
      <c r="B25" s="224" t="s">
        <v>845</v>
      </c>
      <c r="C25" s="15">
        <v>705</v>
      </c>
      <c r="D25" s="15">
        <v>1</v>
      </c>
      <c r="E25" s="15">
        <v>0</v>
      </c>
      <c r="F25" s="535">
        <v>3</v>
      </c>
      <c r="G25" s="540">
        <f t="shared" si="0"/>
        <v>709</v>
      </c>
      <c r="H25" s="15">
        <v>705</v>
      </c>
      <c r="I25" s="15">
        <v>1</v>
      </c>
      <c r="J25" s="15">
        <v>0</v>
      </c>
      <c r="K25" s="15">
        <v>3</v>
      </c>
      <c r="L25" s="15">
        <f t="shared" si="1"/>
        <v>709</v>
      </c>
      <c r="M25" s="15">
        <f t="shared" si="2"/>
        <v>0</v>
      </c>
      <c r="N25" s="15"/>
      <c r="O25" s="12">
        <f>G25+'AT3C_cvrg(Insti)_UPY '!G25</f>
        <v>711</v>
      </c>
    </row>
    <row r="26" spans="1:15" ht="12.75">
      <c r="A26" s="14">
        <v>16</v>
      </c>
      <c r="B26" s="224" t="s">
        <v>846</v>
      </c>
      <c r="C26" s="15">
        <v>1255</v>
      </c>
      <c r="D26" s="15">
        <v>21</v>
      </c>
      <c r="E26" s="15">
        <v>0</v>
      </c>
      <c r="F26" s="535">
        <v>6</v>
      </c>
      <c r="G26" s="540">
        <f t="shared" si="0"/>
        <v>1282</v>
      </c>
      <c r="H26" s="15">
        <v>1255</v>
      </c>
      <c r="I26" s="15">
        <v>21</v>
      </c>
      <c r="J26" s="15">
        <v>0</v>
      </c>
      <c r="K26" s="15">
        <v>6</v>
      </c>
      <c r="L26" s="15">
        <f t="shared" si="1"/>
        <v>1282</v>
      </c>
      <c r="M26" s="15">
        <f t="shared" si="2"/>
        <v>0</v>
      </c>
      <c r="N26" s="15"/>
      <c r="O26" s="12">
        <f>G26+'AT3C_cvrg(Insti)_UPY '!G26</f>
        <v>1296</v>
      </c>
    </row>
    <row r="27" spans="1:15" ht="12.75">
      <c r="A27" s="14">
        <v>17</v>
      </c>
      <c r="B27" s="224" t="s">
        <v>847</v>
      </c>
      <c r="C27" s="15">
        <v>599</v>
      </c>
      <c r="D27" s="15">
        <v>11</v>
      </c>
      <c r="E27" s="15">
        <v>0</v>
      </c>
      <c r="F27" s="535">
        <v>2</v>
      </c>
      <c r="G27" s="540">
        <f t="shared" si="0"/>
        <v>612</v>
      </c>
      <c r="H27" s="15">
        <v>599</v>
      </c>
      <c r="I27" s="15">
        <v>11</v>
      </c>
      <c r="J27" s="15">
        <v>0</v>
      </c>
      <c r="K27" s="15">
        <v>2</v>
      </c>
      <c r="L27" s="15">
        <f t="shared" si="1"/>
        <v>612</v>
      </c>
      <c r="M27" s="15">
        <f t="shared" si="2"/>
        <v>0</v>
      </c>
      <c r="N27" s="15"/>
      <c r="O27" s="12">
        <f>G27+'AT3C_cvrg(Insti)_UPY '!G27</f>
        <v>614</v>
      </c>
    </row>
    <row r="28" spans="1:15" ht="12.75">
      <c r="A28" s="14">
        <v>18</v>
      </c>
      <c r="B28" s="224" t="s">
        <v>848</v>
      </c>
      <c r="C28" s="15">
        <v>554</v>
      </c>
      <c r="D28" s="15">
        <v>1</v>
      </c>
      <c r="E28" s="15">
        <v>0</v>
      </c>
      <c r="F28" s="535">
        <v>2</v>
      </c>
      <c r="G28" s="540">
        <f t="shared" si="0"/>
        <v>557</v>
      </c>
      <c r="H28" s="15">
        <v>554</v>
      </c>
      <c r="I28" s="15">
        <v>1</v>
      </c>
      <c r="J28" s="15">
        <v>0</v>
      </c>
      <c r="K28" s="15">
        <v>2</v>
      </c>
      <c r="L28" s="15">
        <f t="shared" si="1"/>
        <v>557</v>
      </c>
      <c r="M28" s="15">
        <f t="shared" si="2"/>
        <v>0</v>
      </c>
      <c r="N28" s="15"/>
      <c r="O28" s="12">
        <f>G28+'AT3C_cvrg(Insti)_UPY '!G28</f>
        <v>559</v>
      </c>
    </row>
    <row r="29" spans="1:15" ht="12.75">
      <c r="A29" s="14">
        <v>19</v>
      </c>
      <c r="B29" s="224" t="s">
        <v>849</v>
      </c>
      <c r="C29" s="15">
        <v>805</v>
      </c>
      <c r="D29" s="15">
        <v>5</v>
      </c>
      <c r="E29" s="15">
        <v>0</v>
      </c>
      <c r="F29" s="535">
        <v>2</v>
      </c>
      <c r="G29" s="540">
        <f t="shared" si="0"/>
        <v>812</v>
      </c>
      <c r="H29" s="15">
        <v>805</v>
      </c>
      <c r="I29" s="15">
        <v>5</v>
      </c>
      <c r="J29" s="15">
        <v>0</v>
      </c>
      <c r="K29" s="15">
        <v>2</v>
      </c>
      <c r="L29" s="15">
        <f t="shared" si="1"/>
        <v>812</v>
      </c>
      <c r="M29" s="15">
        <f t="shared" si="2"/>
        <v>0</v>
      </c>
      <c r="N29" s="15"/>
      <c r="O29" s="12">
        <f>G29+'AT3C_cvrg(Insti)_UPY '!G29</f>
        <v>821</v>
      </c>
    </row>
    <row r="30" spans="1:15" ht="12.75">
      <c r="A30" s="14">
        <v>20</v>
      </c>
      <c r="B30" s="224" t="s">
        <v>850</v>
      </c>
      <c r="C30" s="15">
        <v>442</v>
      </c>
      <c r="D30" s="15">
        <v>1</v>
      </c>
      <c r="E30" s="15">
        <v>0</v>
      </c>
      <c r="F30" s="535">
        <v>2</v>
      </c>
      <c r="G30" s="540">
        <f t="shared" si="0"/>
        <v>445</v>
      </c>
      <c r="H30" s="15">
        <v>442</v>
      </c>
      <c r="I30" s="15">
        <v>1</v>
      </c>
      <c r="J30" s="15">
        <v>0</v>
      </c>
      <c r="K30" s="15">
        <v>2</v>
      </c>
      <c r="L30" s="15">
        <f t="shared" si="1"/>
        <v>445</v>
      </c>
      <c r="M30" s="15">
        <f t="shared" si="2"/>
        <v>0</v>
      </c>
      <c r="N30" s="15"/>
      <c r="O30" s="12">
        <f>G30+'AT3C_cvrg(Insti)_UPY '!G30</f>
        <v>448</v>
      </c>
    </row>
    <row r="31" spans="1:15" ht="12.75">
      <c r="A31" s="14">
        <v>21</v>
      </c>
      <c r="B31" s="224" t="s">
        <v>851</v>
      </c>
      <c r="C31" s="15">
        <v>491</v>
      </c>
      <c r="D31" s="15">
        <v>4</v>
      </c>
      <c r="E31" s="15">
        <v>0</v>
      </c>
      <c r="F31" s="535">
        <v>43</v>
      </c>
      <c r="G31" s="540">
        <f t="shared" si="0"/>
        <v>538</v>
      </c>
      <c r="H31" s="15">
        <v>491</v>
      </c>
      <c r="I31" s="15">
        <v>4</v>
      </c>
      <c r="J31" s="15">
        <v>0</v>
      </c>
      <c r="K31" s="15">
        <v>43</v>
      </c>
      <c r="L31" s="15">
        <f t="shared" si="1"/>
        <v>538</v>
      </c>
      <c r="M31" s="15">
        <f t="shared" si="2"/>
        <v>0</v>
      </c>
      <c r="N31" s="15"/>
      <c r="O31" s="12">
        <f>G31+'AT3C_cvrg(Insti)_UPY '!G31</f>
        <v>542</v>
      </c>
    </row>
    <row r="32" spans="1:15" ht="12.75">
      <c r="A32" s="14">
        <v>22</v>
      </c>
      <c r="B32" s="224" t="s">
        <v>852</v>
      </c>
      <c r="C32" s="15">
        <v>347</v>
      </c>
      <c r="D32" s="15">
        <v>5</v>
      </c>
      <c r="E32" s="15">
        <v>0</v>
      </c>
      <c r="F32" s="535">
        <v>27</v>
      </c>
      <c r="G32" s="540">
        <f t="shared" si="0"/>
        <v>379</v>
      </c>
      <c r="H32" s="15">
        <v>347</v>
      </c>
      <c r="I32" s="15">
        <v>5</v>
      </c>
      <c r="J32" s="15">
        <v>0</v>
      </c>
      <c r="K32" s="15">
        <v>27</v>
      </c>
      <c r="L32" s="15">
        <f t="shared" si="1"/>
        <v>379</v>
      </c>
      <c r="M32" s="15">
        <f t="shared" si="2"/>
        <v>0</v>
      </c>
      <c r="N32" s="15"/>
      <c r="O32" s="12">
        <f>G32+'AT3C_cvrg(Insti)_UPY '!G32</f>
        <v>387</v>
      </c>
    </row>
    <row r="33" spans="1:15" ht="12.75">
      <c r="A33" s="14">
        <v>23</v>
      </c>
      <c r="B33" s="224" t="s">
        <v>853</v>
      </c>
      <c r="C33" s="15">
        <v>599</v>
      </c>
      <c r="D33" s="15">
        <v>3</v>
      </c>
      <c r="E33" s="15">
        <v>0</v>
      </c>
      <c r="F33" s="535">
        <v>67</v>
      </c>
      <c r="G33" s="540">
        <f t="shared" si="0"/>
        <v>669</v>
      </c>
      <c r="H33" s="15">
        <v>599</v>
      </c>
      <c r="I33" s="15">
        <v>3</v>
      </c>
      <c r="J33" s="15">
        <v>0</v>
      </c>
      <c r="K33" s="15">
        <v>67</v>
      </c>
      <c r="L33" s="15">
        <f t="shared" si="1"/>
        <v>669</v>
      </c>
      <c r="M33" s="15">
        <f t="shared" si="2"/>
        <v>0</v>
      </c>
      <c r="N33" s="15"/>
      <c r="O33" s="12">
        <f>G33+'AT3C_cvrg(Insti)_UPY '!G33</f>
        <v>674</v>
      </c>
    </row>
    <row r="34" spans="1:15" ht="12.75">
      <c r="A34" s="14">
        <v>24</v>
      </c>
      <c r="B34" s="224" t="s">
        <v>854</v>
      </c>
      <c r="C34" s="15">
        <v>652</v>
      </c>
      <c r="D34" s="15">
        <v>0</v>
      </c>
      <c r="E34" s="15">
        <v>0</v>
      </c>
      <c r="F34" s="535">
        <v>1</v>
      </c>
      <c r="G34" s="540">
        <f t="shared" si="0"/>
        <v>653</v>
      </c>
      <c r="H34" s="15">
        <v>652</v>
      </c>
      <c r="I34" s="15">
        <v>0</v>
      </c>
      <c r="J34" s="15">
        <v>0</v>
      </c>
      <c r="K34" s="15">
        <v>1</v>
      </c>
      <c r="L34" s="15">
        <f t="shared" si="1"/>
        <v>653</v>
      </c>
      <c r="M34" s="15">
        <f t="shared" si="2"/>
        <v>0</v>
      </c>
      <c r="N34" s="15"/>
      <c r="O34" s="12">
        <f>G34+'AT3C_cvrg(Insti)_UPY '!G34</f>
        <v>657</v>
      </c>
    </row>
    <row r="35" spans="1:14" s="11" customFormat="1" ht="12.75">
      <c r="A35" s="560" t="s">
        <v>13</v>
      </c>
      <c r="B35" s="561"/>
      <c r="C35" s="244">
        <f aca="true" t="shared" si="3" ref="C35:M35">SUM(C11:C34)</f>
        <v>13846</v>
      </c>
      <c r="D35" s="244">
        <f t="shared" si="3"/>
        <v>334</v>
      </c>
      <c r="E35" s="244">
        <f t="shared" si="3"/>
        <v>0</v>
      </c>
      <c r="F35" s="244">
        <f t="shared" si="3"/>
        <v>172</v>
      </c>
      <c r="G35" s="244">
        <f t="shared" si="3"/>
        <v>14352</v>
      </c>
      <c r="H35" s="23">
        <f t="shared" si="3"/>
        <v>13846</v>
      </c>
      <c r="I35" s="23">
        <f t="shared" si="3"/>
        <v>334</v>
      </c>
      <c r="J35" s="23">
        <f t="shared" si="3"/>
        <v>0</v>
      </c>
      <c r="K35" s="23">
        <f t="shared" si="3"/>
        <v>172</v>
      </c>
      <c r="L35" s="23">
        <f t="shared" si="3"/>
        <v>14352</v>
      </c>
      <c r="M35" s="23">
        <f t="shared" si="3"/>
        <v>0</v>
      </c>
      <c r="N35" s="23"/>
    </row>
    <row r="36" spans="1:14" ht="12.75">
      <c r="A36" s="9"/>
      <c r="B36" s="17"/>
      <c r="C36" s="17"/>
      <c r="D36" s="17"/>
      <c r="E36" s="17"/>
      <c r="F36" s="17"/>
      <c r="G36" s="17"/>
      <c r="H36" s="17"/>
      <c r="I36" s="17"/>
      <c r="J36" s="17"/>
      <c r="K36" s="17"/>
      <c r="L36" s="17"/>
      <c r="M36" s="17"/>
      <c r="N36" s="17"/>
    </row>
    <row r="37" ht="12.75">
      <c r="A37" s="16" t="s">
        <v>6</v>
      </c>
    </row>
    <row r="38" ht="12.75">
      <c r="A38" s="12" t="s">
        <v>7</v>
      </c>
    </row>
    <row r="39" spans="1:14" ht="12.75">
      <c r="A39" s="12" t="s">
        <v>8</v>
      </c>
      <c r="L39" s="9" t="s">
        <v>9</v>
      </c>
      <c r="M39" s="9"/>
      <c r="N39" s="9" t="s">
        <v>9</v>
      </c>
    </row>
    <row r="40" spans="1:12" ht="12.75">
      <c r="A40" s="12" t="s">
        <v>430</v>
      </c>
      <c r="J40" s="9"/>
      <c r="K40" s="9"/>
      <c r="L40" s="9"/>
    </row>
    <row r="41" spans="3:13" ht="12.75">
      <c r="C41" s="12" t="s">
        <v>431</v>
      </c>
      <c r="E41" s="17"/>
      <c r="F41" s="17"/>
      <c r="G41" s="17"/>
      <c r="H41" s="17"/>
      <c r="I41" s="17"/>
      <c r="J41" s="17"/>
      <c r="K41" s="17"/>
      <c r="L41" s="17"/>
      <c r="M41" s="17"/>
    </row>
    <row r="42" spans="5:14" ht="12.75">
      <c r="E42" s="17"/>
      <c r="F42" s="17"/>
      <c r="G42" s="17"/>
      <c r="H42" s="17"/>
      <c r="I42" s="17"/>
      <c r="J42" s="17"/>
      <c r="K42" s="17"/>
      <c r="L42" s="17"/>
      <c r="M42" s="17"/>
      <c r="N42" s="17"/>
    </row>
    <row r="43" spans="5:14" ht="12.75">
      <c r="E43" s="17"/>
      <c r="F43" s="17"/>
      <c r="G43" s="17"/>
      <c r="H43" s="17"/>
      <c r="I43" s="17"/>
      <c r="J43" s="17"/>
      <c r="K43" s="17"/>
      <c r="L43" s="17"/>
      <c r="M43" s="17"/>
      <c r="N43" s="17"/>
    </row>
    <row r="44" spans="5:14" ht="12.75">
      <c r="E44" s="17"/>
      <c r="F44" s="17"/>
      <c r="G44" s="17"/>
      <c r="H44" s="17"/>
      <c r="I44" s="17"/>
      <c r="J44" s="17"/>
      <c r="K44" s="17"/>
      <c r="L44" s="17"/>
      <c r="M44" s="17"/>
      <c r="N44" s="17"/>
    </row>
    <row r="45" spans="1:14" ht="15.75">
      <c r="A45" s="10"/>
      <c r="B45" s="10"/>
      <c r="C45" s="10"/>
      <c r="D45" s="10"/>
      <c r="E45" s="10"/>
      <c r="F45" s="10"/>
      <c r="G45" s="10"/>
      <c r="H45" s="10"/>
      <c r="L45" s="345"/>
      <c r="M45" s="345"/>
      <c r="N45" s="345"/>
    </row>
    <row r="46" spans="1:14" ht="15.75">
      <c r="A46" s="559" t="s">
        <v>989</v>
      </c>
      <c r="B46" s="559"/>
      <c r="C46" s="559"/>
      <c r="F46" s="559" t="s">
        <v>990</v>
      </c>
      <c r="G46" s="559"/>
      <c r="H46" s="559"/>
      <c r="I46" s="345"/>
      <c r="J46" s="345"/>
      <c r="K46" s="345"/>
      <c r="L46" s="559" t="s">
        <v>996</v>
      </c>
      <c r="M46" s="559"/>
      <c r="N46" s="559"/>
    </row>
    <row r="47" spans="1:14" ht="15.75">
      <c r="A47" s="559" t="s">
        <v>991</v>
      </c>
      <c r="B47" s="559"/>
      <c r="C47" s="559"/>
      <c r="F47" s="559" t="s">
        <v>992</v>
      </c>
      <c r="G47" s="559"/>
      <c r="H47" s="559"/>
      <c r="I47" s="345"/>
      <c r="J47" s="345"/>
      <c r="K47" s="345"/>
      <c r="L47" s="559" t="s">
        <v>993</v>
      </c>
      <c r="M47" s="559"/>
      <c r="N47" s="559"/>
    </row>
    <row r="48" spans="1:14" ht="12.75">
      <c r="A48" s="559" t="s">
        <v>994</v>
      </c>
      <c r="B48" s="559"/>
      <c r="C48" s="559"/>
      <c r="F48" s="559" t="s">
        <v>995</v>
      </c>
      <c r="G48" s="559"/>
      <c r="H48" s="559"/>
      <c r="K48" s="29"/>
      <c r="L48" s="559" t="s">
        <v>995</v>
      </c>
      <c r="M48" s="559"/>
      <c r="N48" s="559"/>
    </row>
    <row r="49" spans="1:14" ht="12.75">
      <c r="A49" s="687"/>
      <c r="B49" s="687"/>
      <c r="C49" s="687"/>
      <c r="D49" s="687"/>
      <c r="E49" s="687"/>
      <c r="F49" s="687"/>
      <c r="G49" s="687"/>
      <c r="H49" s="687"/>
      <c r="I49" s="687"/>
      <c r="J49" s="687"/>
      <c r="K49" s="687"/>
      <c r="L49" s="687"/>
      <c r="M49" s="687"/>
      <c r="N49" s="687"/>
    </row>
  </sheetData>
  <sheetProtection/>
  <mergeCells count="23">
    <mergeCell ref="A49:N49"/>
    <mergeCell ref="M8:M9"/>
    <mergeCell ref="N8:N9"/>
    <mergeCell ref="A8:A9"/>
    <mergeCell ref="B8:B9"/>
    <mergeCell ref="A35:B35"/>
    <mergeCell ref="A46:C46"/>
    <mergeCell ref="F46:H46"/>
    <mergeCell ref="L46:N46"/>
    <mergeCell ref="A47:C47"/>
    <mergeCell ref="D1:J1"/>
    <mergeCell ref="A2:N2"/>
    <mergeCell ref="A3:N3"/>
    <mergeCell ref="A5:N5"/>
    <mergeCell ref="L7:N7"/>
    <mergeCell ref="A7:B7"/>
    <mergeCell ref="F47:H47"/>
    <mergeCell ref="L47:N47"/>
    <mergeCell ref="A48:C48"/>
    <mergeCell ref="F48:H48"/>
    <mergeCell ref="L48:N48"/>
    <mergeCell ref="C8:G8"/>
    <mergeCell ref="H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2018-02-09T11:43:55Z</cp:lastPrinted>
  <dcterms:created xsi:type="dcterms:W3CDTF">1996-10-14T23:33:28Z</dcterms:created>
  <dcterms:modified xsi:type="dcterms:W3CDTF">2018-05-29T11:07:07Z</dcterms:modified>
  <cp:category/>
  <cp:version/>
  <cp:contentType/>
  <cp:contentStatus/>
</cp:coreProperties>
</file>