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2120" windowHeight="8820" tabRatio="934" firstSheet="55" activeTab="56"/>
  </bookViews>
  <sheets>
    <sheet name="First-Page" sheetId="1" r:id="rId1"/>
    <sheet name="Contents" sheetId="2" r:id="rId2"/>
    <sheet name="Sheet1" sheetId="3" r:id="rId3"/>
    <sheet name="AT-1-Gen_Info " sheetId="4" r:id="rId4"/>
    <sheet name="AT-2-S1 BUDGET" sheetId="5" r:id="rId5"/>
    <sheet name="AT_2A_fundflow" sheetId="6" r:id="rId6"/>
    <sheet name="AT-3" sheetId="7" r:id="rId7"/>
    <sheet name="AT3A_cvrg(Insti)_PY" sheetId="8" r:id="rId8"/>
    <sheet name="AT3B_cvrg(Insti)_UPY " sheetId="9" r:id="rId9"/>
    <sheet name="AT3C_cvrg(Insti)_UPY " sheetId="10" r:id="rId10"/>
    <sheet name="enrolment vs availed_PY" sheetId="11" r:id="rId11"/>
    <sheet name="enrolment vs availed_UPY" sheetId="12" r:id="rId12"/>
    <sheet name="AT-4B" sheetId="13" r:id="rId13"/>
    <sheet name="T5_PLAN_vs_PRFM" sheetId="14" r:id="rId14"/>
    <sheet name="T5A_PLAN_vs_PRFM " sheetId="15" r:id="rId15"/>
    <sheet name="T5B_PLAN_vs_PRFM  (2)" sheetId="16" r:id="rId16"/>
    <sheet name="T5C_Drought_PLAN_vs_PRFM " sheetId="17" r:id="rId17"/>
    <sheet name="T5D_Drought_PLAN_vs_PRFM  " sheetId="18" r:id="rId18"/>
    <sheet name="T6_FG_py_Utlsn" sheetId="19" r:id="rId19"/>
    <sheet name="T6A_FG_Upy_Utlsn " sheetId="20" r:id="rId20"/>
    <sheet name="T6B_Pay_FG_FCI_Pry" sheetId="21" r:id="rId21"/>
    <sheet name="T6C_Coarse_Grain" sheetId="22" r:id="rId22"/>
    <sheet name="T7_CC_PY_Utlsn" sheetId="23" r:id="rId23"/>
    <sheet name="T7ACC_UPY_Utlsn " sheetId="24" r:id="rId24"/>
    <sheet name="AT-8_Hon_CCH_Pry" sheetId="25" r:id="rId25"/>
    <sheet name="AT-8A_Hon_CCH_UPry" sheetId="26" r:id="rId26"/>
    <sheet name="AT9_TA" sheetId="27" r:id="rId27"/>
    <sheet name="AT10_MME" sheetId="28" r:id="rId28"/>
    <sheet name="AT10A_" sheetId="29" r:id="rId29"/>
    <sheet name="AT-10 B" sheetId="30" r:id="rId30"/>
    <sheet name="AT-10 C" sheetId="31" r:id="rId31"/>
    <sheet name="AT-10D" sheetId="32" r:id="rId32"/>
    <sheet name="AT-10 E" sheetId="33" r:id="rId33"/>
    <sheet name="AT-10 F Drinking Water" sheetId="34" r:id="rId34"/>
    <sheet name="AT11_KS Year wise" sheetId="35" r:id="rId35"/>
    <sheet name="AT11A_KS-District wise" sheetId="36" r:id="rId36"/>
    <sheet name="AT12_KD-New" sheetId="37" r:id="rId37"/>
    <sheet name="AT12A_KD-Replacement" sheetId="38" r:id="rId38"/>
    <sheet name="Mode of cooking" sheetId="39" r:id="rId39"/>
    <sheet name="AT-14" sheetId="40" r:id="rId40"/>
    <sheet name="AT-14 A" sheetId="41" r:id="rId41"/>
    <sheet name="AT-15" sheetId="42" r:id="rId42"/>
    <sheet name="AT-16" sheetId="43" r:id="rId43"/>
    <sheet name="AT_17_Coverage-RBSK " sheetId="44" r:id="rId44"/>
    <sheet name="AT18_Details_Community " sheetId="45" r:id="rId45"/>
    <sheet name="AT_19_Impl_Agency" sheetId="46" r:id="rId46"/>
    <sheet name="AT_20_CentralCookingagency " sheetId="47" r:id="rId47"/>
    <sheet name="AT-21" sheetId="48" r:id="rId48"/>
    <sheet name="AT-22" sheetId="49" r:id="rId49"/>
    <sheet name="AT-23 MIS" sheetId="50" r:id="rId50"/>
    <sheet name="AT-23A _AMS" sheetId="51" r:id="rId51"/>
    <sheet name="AT-24" sheetId="52" r:id="rId52"/>
    <sheet name="AT-25" sheetId="53" r:id="rId53"/>
    <sheet name="Sheet1 (2)" sheetId="54" r:id="rId54"/>
    <sheet name="AT26_NoWD" sheetId="55" r:id="rId55"/>
    <sheet name="AT26A_NoWD" sheetId="56" r:id="rId56"/>
    <sheet name="AT27_Req_FG_CA_Pry" sheetId="57" r:id="rId57"/>
    <sheet name="AT27A_Req_FG_CA_U Pry " sheetId="58" r:id="rId58"/>
    <sheet name="AT27B_Req_FG_CA_N CLP" sheetId="59" r:id="rId59"/>
    <sheet name="AT27C_Req_FG_Drought -Pry " sheetId="60" r:id="rId60"/>
    <sheet name="AT27D_Req_FG_Drought -UPry " sheetId="61" r:id="rId61"/>
    <sheet name="AT_28_RqmtKitchen" sheetId="62" r:id="rId62"/>
    <sheet name="AT-28A_RqmtPlinthArea" sheetId="63" r:id="rId63"/>
    <sheet name="AT29_KD" sheetId="64" r:id="rId64"/>
    <sheet name="AT-30_Coook-cum-Helper" sheetId="65" r:id="rId65"/>
    <sheet name="AT_31_Budget_provision " sheetId="66" r:id="rId66"/>
    <sheet name="AT32_Drought Pry Util" sheetId="67" r:id="rId67"/>
    <sheet name="AT-32A Drought UPry Util" sheetId="68" r:id="rId68"/>
  </sheets>
  <externalReferences>
    <externalReference r:id="rId71"/>
  </externalReferences>
  <definedNames>
    <definedName name="_xlnm.Print_Area" localSheetId="43">'AT_17_Coverage-RBSK '!$A$1:$L$57</definedName>
    <definedName name="_xlnm.Print_Area" localSheetId="45">'AT_19_Impl_Agency'!$A$1:$J$60</definedName>
    <definedName name="_xlnm.Print_Area" localSheetId="46">'AT_20_CentralCookingagency '!$A$1:$M$57</definedName>
    <definedName name="_xlnm.Print_Area" localSheetId="61">'AT_28_RqmtKitchen'!$A$1:$R$51</definedName>
    <definedName name="_xlnm.Print_Area" localSheetId="5">'AT_2A_fundflow'!$A$1:$V$31</definedName>
    <definedName name="_xlnm.Print_Area" localSheetId="65">'AT_31_Budget_provision '!$A$1:$W$35</definedName>
    <definedName name="_xlnm.Print_Area" localSheetId="29">'AT-10 B'!$A$1:$J$53</definedName>
    <definedName name="_xlnm.Print_Area" localSheetId="30">'AT-10 C'!$A$1:$J$51</definedName>
    <definedName name="_xlnm.Print_Area" localSheetId="32">'AT-10 E'!$A$1:$G$54</definedName>
    <definedName name="_xlnm.Print_Area" localSheetId="33">'AT-10 F Drinking Water'!$A$1:$O$54</definedName>
    <definedName name="_xlnm.Print_Area" localSheetId="27">'AT10_MME'!$A$1:$H$32</definedName>
    <definedName name="_xlnm.Print_Area" localSheetId="28">'AT10A_'!$A$1:$E$53</definedName>
    <definedName name="_xlnm.Print_Area" localSheetId="31">'AT-10D'!$A$1:$H$32</definedName>
    <definedName name="_xlnm.Print_Area" localSheetId="34">'AT11_KS Year wise'!$A$1:$K$31</definedName>
    <definedName name="_xlnm.Print_Area" localSheetId="35">'AT11A_KS-District wise'!$A$1:$K$55</definedName>
    <definedName name="_xlnm.Print_Area" localSheetId="36">'AT12_KD-New'!$A$1:$K$54</definedName>
    <definedName name="_xlnm.Print_Area" localSheetId="37">'AT12A_KD-Replacement'!$A$1:$K$54</definedName>
    <definedName name="_xlnm.Print_Area" localSheetId="39">'AT-14'!$A$1:$N$50</definedName>
    <definedName name="_xlnm.Print_Area" localSheetId="40">'AT-14 A'!$A$1:$H$50</definedName>
    <definedName name="_xlnm.Print_Area" localSheetId="41">'AT-15'!$A$1:$L$52</definedName>
    <definedName name="_xlnm.Print_Area" localSheetId="42">'AT-16'!$A$2:$K$51</definedName>
    <definedName name="_xlnm.Print_Area" localSheetId="44">'AT18_Details_Community '!$A$1:$F$53</definedName>
    <definedName name="_xlnm.Print_Area" localSheetId="3">'AT-1-Gen_Info '!$A$1:$T$54</definedName>
    <definedName name="_xlnm.Print_Area" localSheetId="47">'AT-21'!$A$1:$L$52</definedName>
    <definedName name="_xlnm.Print_Area" localSheetId="48">'AT-22'!$A$1:$O$25</definedName>
    <definedName name="_xlnm.Print_Area" localSheetId="49">'AT-23 MIS'!$A$1:$P$53</definedName>
    <definedName name="_xlnm.Print_Area" localSheetId="50">'AT-23A _AMS'!$A$1:$P$53</definedName>
    <definedName name="_xlnm.Print_Area" localSheetId="51">'AT-24'!$A$1:$M$52</definedName>
    <definedName name="_xlnm.Print_Area" localSheetId="52">'AT-25'!$A$1:$F$46</definedName>
    <definedName name="_xlnm.Print_Area" localSheetId="54">'AT26_NoWD'!$A$1:$L$31</definedName>
    <definedName name="_xlnm.Print_Area" localSheetId="55">'AT26A_NoWD'!$A$1:$K$32</definedName>
    <definedName name="_xlnm.Print_Area" localSheetId="56">'AT27_Req_FG_CA_Pry'!$A$1:$R$56</definedName>
    <definedName name="_xlnm.Print_Area" localSheetId="57">'AT27A_Req_FG_CA_U Pry '!$A$1:$R$56</definedName>
    <definedName name="_xlnm.Print_Area" localSheetId="58">'AT27B_Req_FG_CA_N CLP'!$A$1:$N$56</definedName>
    <definedName name="_xlnm.Print_Area" localSheetId="59">'AT27C_Req_FG_Drought -Pry '!$A$1:$N$56</definedName>
    <definedName name="_xlnm.Print_Area" localSheetId="60">'AT27D_Req_FG_Drought -UPry '!$A$1:$N$56</definedName>
    <definedName name="_xlnm.Print_Area" localSheetId="62">'AT-28A_RqmtPlinthArea'!$A$1:$S$51</definedName>
    <definedName name="_xlnm.Print_Area" localSheetId="63">'AT29_KD'!$A$1:$AF$51</definedName>
    <definedName name="_xlnm.Print_Area" localSheetId="4">'AT-2-S1 BUDGET'!$A$1:$V$34</definedName>
    <definedName name="_xlnm.Print_Area" localSheetId="6">'AT-3'!$A$1:$H$51</definedName>
    <definedName name="_xlnm.Print_Area" localSheetId="64">'AT-30_Coook-cum-Helper'!$A$1:$L$51</definedName>
    <definedName name="_xlnm.Print_Area" localSheetId="66">'AT32_Drought Pry Util'!$A$1:$L$53</definedName>
    <definedName name="_xlnm.Print_Area" localSheetId="67">'AT-32A Drought UPry Util'!$A$1:$L$54</definedName>
    <definedName name="_xlnm.Print_Area" localSheetId="7">'AT3A_cvrg(Insti)_PY'!$A$4:$N$58</definedName>
    <definedName name="_xlnm.Print_Area" localSheetId="8">'AT3B_cvrg(Insti)_UPY '!$A$1:$N$58</definedName>
    <definedName name="_xlnm.Print_Area" localSheetId="9">'AT3C_cvrg(Insti)_UPY '!$A$1:$N$58</definedName>
    <definedName name="_xlnm.Print_Area" localSheetId="12">'AT-4B'!$A$1:$G$51</definedName>
    <definedName name="_xlnm.Print_Area" localSheetId="24">'AT-8_Hon_CCH_Pry'!$A$1:$V$57</definedName>
    <definedName name="_xlnm.Print_Area" localSheetId="25">'AT-8A_Hon_CCH_UPry'!$A$1:$V$56</definedName>
    <definedName name="_xlnm.Print_Area" localSheetId="26">'AT9_TA'!$A$1:$I$54</definedName>
    <definedName name="_xlnm.Print_Area" localSheetId="1">'Contents'!$A$1:$C$66</definedName>
    <definedName name="_xlnm.Print_Area" localSheetId="10">'enrolment vs availed_PY'!$A$1:$Q$56</definedName>
    <definedName name="_xlnm.Print_Area" localSheetId="11">'enrolment vs availed_UPY'!$A$1:$R$57</definedName>
    <definedName name="_xlnm.Print_Area" localSheetId="0">'First-Page'!$A$1:$O$30</definedName>
    <definedName name="_xlnm.Print_Area" localSheetId="38">'Mode of cooking'!$A$1:$H$51</definedName>
    <definedName name="_xlnm.Print_Area" localSheetId="2">'Sheet1'!$A$1:$J$24</definedName>
    <definedName name="_xlnm.Print_Area" localSheetId="53">'Sheet1 (2)'!$A$1:$J$24</definedName>
    <definedName name="_xlnm.Print_Area" localSheetId="13">'T5_PLAN_vs_PRFM'!$A$1:$J$54</definedName>
    <definedName name="_xlnm.Print_Area" localSheetId="14">'T5A_PLAN_vs_PRFM '!$A$1:$J$54</definedName>
    <definedName name="_xlnm.Print_Area" localSheetId="15">'T5B_PLAN_vs_PRFM  (2)'!$A$1:$J$54</definedName>
    <definedName name="_xlnm.Print_Area" localSheetId="16">'T5C_Drought_PLAN_vs_PRFM '!$A$1:$J$54</definedName>
    <definedName name="_xlnm.Print_Area" localSheetId="17">'T5D_Drought_PLAN_vs_PRFM  '!$A$1:$J$54</definedName>
    <definedName name="_xlnm.Print_Area" localSheetId="18">'T6_FG_py_Utlsn'!$A$2:$L$53</definedName>
    <definedName name="_xlnm.Print_Area" localSheetId="19">'T6A_FG_Upy_Utlsn '!$A$1:$M$54</definedName>
    <definedName name="_xlnm.Print_Area" localSheetId="20">'T6B_Pay_FG_FCI_Pry'!$A$1:$N$56</definedName>
    <definedName name="_xlnm.Print_Area" localSheetId="21">'T6C_Coarse_Grain'!$A$1:$M$55</definedName>
    <definedName name="_xlnm.Print_Area" localSheetId="22">'T7_CC_PY_Utlsn'!$A$1:$Q$56</definedName>
    <definedName name="_xlnm.Print_Area" localSheetId="23">'T7ACC_UPY_Utlsn '!$A$1:$Q$55</definedName>
  </definedNames>
  <calcPr fullCalcOnLoad="1"/>
</workbook>
</file>

<file path=xl/sharedStrings.xml><?xml version="1.0" encoding="utf-8"?>
<sst xmlns="http://schemas.openxmlformats.org/spreadsheetml/2006/main" count="4720" uniqueCount="1027">
  <si>
    <t>[Mid-Day Meal Scheme]</t>
  </si>
  <si>
    <t>State:</t>
  </si>
  <si>
    <t>S.No.</t>
  </si>
  <si>
    <t>Name of District</t>
  </si>
  <si>
    <t>No. of  Institutions</t>
  </si>
  <si>
    <t xml:space="preserve">(Govt+LB)Schools </t>
  </si>
  <si>
    <t>GA Schools</t>
  </si>
  <si>
    <t>-</t>
  </si>
  <si>
    <t>Govt: Government Schools</t>
  </si>
  <si>
    <t>LB: Local Body Schools</t>
  </si>
  <si>
    <t>GA: Govt Aided Schools</t>
  </si>
  <si>
    <t xml:space="preserve"> </t>
  </si>
  <si>
    <t>Date:_________</t>
  </si>
  <si>
    <t>(Signature)</t>
  </si>
  <si>
    <t xml:space="preserve">Secretary of the Nodal Department </t>
  </si>
  <si>
    <t xml:space="preserve">                          Government/UT Administration of ________</t>
  </si>
  <si>
    <t>(Only in MS-Excel Format)</t>
  </si>
  <si>
    <t xml:space="preserve">No. of children </t>
  </si>
  <si>
    <t>Total no. of meals served</t>
  </si>
  <si>
    <t>Total</t>
  </si>
  <si>
    <t>[Qnty in MTs]</t>
  </si>
  <si>
    <t>Rice</t>
  </si>
  <si>
    <t>Date:</t>
  </si>
  <si>
    <t>[Rs. in lakh]</t>
  </si>
  <si>
    <t>Sl. No.</t>
  </si>
  <si>
    <t>Primary</t>
  </si>
  <si>
    <t>Upper Primary</t>
  </si>
  <si>
    <t>[Rs. in Lakh]</t>
  </si>
  <si>
    <t>Activities                                                               (Please list item-wise details as far as possible)</t>
  </si>
  <si>
    <t>I</t>
  </si>
  <si>
    <t xml:space="preserve">School Level Expenses </t>
  </si>
  <si>
    <t>i)Form &amp; Stationery</t>
  </si>
  <si>
    <t>Sub Total</t>
  </si>
  <si>
    <t>II</t>
  </si>
  <si>
    <t>ii) Transport &amp; Conveyance</t>
  </si>
  <si>
    <t>iv) Furniture, hardware and consumables etc.</t>
  </si>
  <si>
    <t>Grand Total</t>
  </si>
  <si>
    <t>District</t>
  </si>
  <si>
    <t xml:space="preserve">Completed (C) </t>
  </si>
  <si>
    <t xml:space="preserve">In progress (IP)                    </t>
  </si>
  <si>
    <t xml:space="preserve">Physical </t>
  </si>
  <si>
    <t>*: District-wise allocation made by State/UT out of Central Assistance provided for the purpose.</t>
  </si>
  <si>
    <t>Wheat</t>
  </si>
  <si>
    <t>SC</t>
  </si>
  <si>
    <t>ST</t>
  </si>
  <si>
    <t>OBC</t>
  </si>
  <si>
    <t>Minority</t>
  </si>
  <si>
    <t>Others</t>
  </si>
  <si>
    <t>Male</t>
  </si>
  <si>
    <t>Female</t>
  </si>
  <si>
    <t>Food item</t>
  </si>
  <si>
    <t>Calories</t>
  </si>
  <si>
    <t>Pulses</t>
  </si>
  <si>
    <t>Oil &amp; fat</t>
  </si>
  <si>
    <t>Salt &amp; Condiments</t>
  </si>
  <si>
    <t>Fuel</t>
  </si>
  <si>
    <t>Table-AT-1</t>
  </si>
  <si>
    <t>[MID-DAY MEAL SCHEME]</t>
  </si>
  <si>
    <t>Year</t>
  </si>
  <si>
    <t>Table:AT-2</t>
  </si>
  <si>
    <t>Table: AT-4</t>
  </si>
  <si>
    <t>Table: AT-4A</t>
  </si>
  <si>
    <t>Table: AT-5</t>
  </si>
  <si>
    <t>Table: AT-6</t>
  </si>
  <si>
    <t>Table: AT-7</t>
  </si>
  <si>
    <t>Table: AT-8</t>
  </si>
  <si>
    <t>Table: AT-9</t>
  </si>
  <si>
    <t>Table: AT-10</t>
  </si>
  <si>
    <t>Table: AT-11</t>
  </si>
  <si>
    <t>Table: AT-12</t>
  </si>
  <si>
    <t xml:space="preserve">Lifted from FCI </t>
  </si>
  <si>
    <t xml:space="preserve">Aggregate quantity Consumed at School level </t>
  </si>
  <si>
    <t>Table: AT-6A</t>
  </si>
  <si>
    <t xml:space="preserve">Expenditure           </t>
  </si>
  <si>
    <t>S. No.</t>
  </si>
  <si>
    <t>Month</t>
  </si>
  <si>
    <t>Total No. of Days in the month</t>
  </si>
  <si>
    <t>Anticipated No. of Working Days (3-8)</t>
  </si>
  <si>
    <t>Remarks</t>
  </si>
  <si>
    <t>Vacation Days</t>
  </si>
  <si>
    <t>Holidays outside Vacation period</t>
  </si>
  <si>
    <t>Total Holidays          (4+7)</t>
  </si>
  <si>
    <t xml:space="preserve">Sundays </t>
  </si>
  <si>
    <t>Other School Holidays</t>
  </si>
  <si>
    <t>Seal:</t>
  </si>
  <si>
    <t>Anticipated No. of working days</t>
  </si>
  <si>
    <t>Requirement of Foodgrains (in MTs)</t>
  </si>
  <si>
    <t>Table: AT-17</t>
  </si>
  <si>
    <t>Table: AT-3A</t>
  </si>
  <si>
    <t>Table: AT-3B</t>
  </si>
  <si>
    <t xml:space="preserve">Total </t>
  </si>
  <si>
    <t>Table: AT-7A</t>
  </si>
  <si>
    <t xml:space="preserve">Total Cooking cost expenditure                   </t>
  </si>
  <si>
    <t>Govt.</t>
  </si>
  <si>
    <t>Protein content     (in gms)</t>
  </si>
  <si>
    <t>Quantity                 (in gms)</t>
  </si>
  <si>
    <t>No. of Cooks cum helper</t>
  </si>
  <si>
    <t>Govt. aided</t>
  </si>
  <si>
    <t>Local body</t>
  </si>
  <si>
    <t>Table: AT-18</t>
  </si>
  <si>
    <t>Madarsas/ Maqtab</t>
  </si>
  <si>
    <t>State</t>
  </si>
  <si>
    <t>No. of Institutions  serving MDM</t>
  </si>
  <si>
    <t>PERFORMANCE</t>
  </si>
  <si>
    <r>
      <t>Financial (</t>
    </r>
    <r>
      <rPr>
        <b/>
        <i/>
        <sz val="10"/>
        <rFont val="Arial"/>
        <family val="2"/>
      </rPr>
      <t>Rs. in lakh)</t>
    </r>
  </si>
  <si>
    <t>Yet to start</t>
  </si>
  <si>
    <t>This information is based on the Academic Calendar prepared by the Education Department</t>
  </si>
  <si>
    <t xml:space="preserve">Balance requirement of kitchen  cum stores </t>
  </si>
  <si>
    <t>Balance requirement of kitchen  Devices</t>
  </si>
  <si>
    <t>Total No. of Institutions</t>
  </si>
  <si>
    <t>SI.No</t>
  </si>
  <si>
    <t>Component</t>
  </si>
  <si>
    <t>No. of Meals served</t>
  </si>
  <si>
    <t xml:space="preserve">No. of working days on which MDM served </t>
  </si>
  <si>
    <t>Centre</t>
  </si>
  <si>
    <t>Total (col.8+11-14)</t>
  </si>
  <si>
    <t>Central assistance received</t>
  </si>
  <si>
    <t xml:space="preserve">*Norms are only for guidance. Actual number will be determined on the basis of ground reality. </t>
  </si>
  <si>
    <t>Total            (col 3+4+5+6)</t>
  </si>
  <si>
    <t>Total       (col.8+9+10+11)</t>
  </si>
  <si>
    <t>Total       (col.13+14+15+16)</t>
  </si>
  <si>
    <t>SHG</t>
  </si>
  <si>
    <t>NGO</t>
  </si>
  <si>
    <t>PRI - Panchayati Raj Institution</t>
  </si>
  <si>
    <t>SHG - Self Help Group</t>
  </si>
  <si>
    <t>VEC Village Education Committee</t>
  </si>
  <si>
    <t>WEC - Ward Education Committee</t>
  </si>
  <si>
    <t>Cost of Foodgrain</t>
  </si>
  <si>
    <t>Cooking Cost</t>
  </si>
  <si>
    <t>Transportation Assistance</t>
  </si>
  <si>
    <t>MME</t>
  </si>
  <si>
    <t>Honorarium to Cook-cum-Helper</t>
  </si>
  <si>
    <t>Kitchen-cum-Store</t>
  </si>
  <si>
    <t>Kitchen Devices</t>
  </si>
  <si>
    <t>Quantity (in gms)</t>
  </si>
  <si>
    <t>Diff. Between (7) -(12)</t>
  </si>
  <si>
    <t>Reasons for difference in col. 13</t>
  </si>
  <si>
    <t>Physical           [col. 3-col.5-col.7]</t>
  </si>
  <si>
    <t>Financial ( Rs. in lakh)                                       [col. 4-col.6-col.8]</t>
  </si>
  <si>
    <t xml:space="preserve">Unit Cost </t>
  </si>
  <si>
    <t>(Rs. In lakhs)</t>
  </si>
  <si>
    <t>No. of Institutions assigned to</t>
  </si>
  <si>
    <t>Grand total</t>
  </si>
  <si>
    <t>Govt. (Col.3-7-11)</t>
  </si>
  <si>
    <t>Govt. aided (col.4-8-12)</t>
  </si>
  <si>
    <t>Local body (col.5-9-13)</t>
  </si>
  <si>
    <t>Total (col.6-10-14)</t>
  </si>
  <si>
    <t>*Remarks</t>
  </si>
  <si>
    <t>Instalment / Component</t>
  </si>
  <si>
    <t>Amount (Rs. In lakhs)</t>
  </si>
  <si>
    <t>Date of receiving of funds by the State / UT</t>
  </si>
  <si>
    <t>Block*</t>
  </si>
  <si>
    <t>Amount</t>
  </si>
  <si>
    <t>Date</t>
  </si>
  <si>
    <t>Balance of 1st Instalment</t>
  </si>
  <si>
    <t>2nd Instalment</t>
  </si>
  <si>
    <t>Budget Provision</t>
  </si>
  <si>
    <t xml:space="preserve">Expenditure </t>
  </si>
  <si>
    <t xml:space="preserve"> Holidays</t>
  </si>
  <si>
    <t>Holidays</t>
  </si>
  <si>
    <t>No. of Schools not having Kitchen Shed</t>
  </si>
  <si>
    <t>Fund required</t>
  </si>
  <si>
    <t>Kitchen-cum-Store proposed this year</t>
  </si>
  <si>
    <t>Total fund required : (Col. 6+10+14+18)</t>
  </si>
  <si>
    <t>State / UT:</t>
  </si>
  <si>
    <t>Gram Panchayat / School*</t>
  </si>
  <si>
    <t>District*</t>
  </si>
  <si>
    <t xml:space="preserve">*If the State releases the fund directly to District / block / Gram Panchayat / school level, then fill up the relevant column. </t>
  </si>
  <si>
    <t>Youth Club of NYK</t>
  </si>
  <si>
    <t>NYK: Nehru Yuva Kendra</t>
  </si>
  <si>
    <t>1. Cooks- cum- helpers engaged under Mid Day Meal Scheme</t>
  </si>
  <si>
    <t xml:space="preserve">2. Cost of meal per child per school day as per State Nutrition / Expenditure Norm including both, Central and State share. </t>
  </si>
  <si>
    <t>Cost   (in Rs.)</t>
  </si>
  <si>
    <t xml:space="preserve">Vegetables </t>
  </si>
  <si>
    <t>Any other item</t>
  </si>
  <si>
    <t>Central</t>
  </si>
  <si>
    <t>Proposed</t>
  </si>
  <si>
    <t>For Central Share</t>
  </si>
  <si>
    <t>For State Share</t>
  </si>
  <si>
    <t>Central Share</t>
  </si>
  <si>
    <t>Status of Releasing of Funds by the State / UT</t>
  </si>
  <si>
    <t>Date on which Block / Gram Panchyat / School / Cooking Agency received funds</t>
  </si>
  <si>
    <t>Directorate / Authority</t>
  </si>
  <si>
    <t xml:space="preserve">Cost of foodgrains </t>
  </si>
  <si>
    <t xml:space="preserve">3.  Per Unit Cooking Cost </t>
  </si>
  <si>
    <t xml:space="preserve">Kitchen-cum-store </t>
  </si>
  <si>
    <t xml:space="preserve">No. of Institutions </t>
  </si>
  <si>
    <t xml:space="preserve">Payment to FCI </t>
  </si>
  <si>
    <t>Qty (in MTs)</t>
  </si>
  <si>
    <t>Unspent Balance  {Col. (4+ 5)- 9}</t>
  </si>
  <si>
    <t>(Rs. in lakh)</t>
  </si>
  <si>
    <t>ii) Training of cook cum helpers</t>
  </si>
  <si>
    <t>iii) Replacement/repair/maintenance of cooking device, utensils, etc.</t>
  </si>
  <si>
    <t>v) Capacity builidng of officials</t>
  </si>
  <si>
    <t>i) Hiring charges of manpower at various levels</t>
  </si>
  <si>
    <t>iii) Office expenditure</t>
  </si>
  <si>
    <t>vi) Publicity, Preparation of relevant manuals</t>
  </si>
  <si>
    <t xml:space="preserve">vii) External Monitoring &amp; Evaluation </t>
  </si>
  <si>
    <t>kitchen devices procured through convergance</t>
  </si>
  <si>
    <t>Trust</t>
  </si>
  <si>
    <t>PRI / GP/ Urban Local Body</t>
  </si>
  <si>
    <t>GP - Gram Panchayat</t>
  </si>
  <si>
    <t>No. of children covered</t>
  </si>
  <si>
    <t>Kitchen-cum-store</t>
  </si>
  <si>
    <t>No. of meals to be served  (Col. 4 x Col. 5)</t>
  </si>
  <si>
    <t>Average No. of children availed MDM [Col. 8/Col. 9]</t>
  </si>
  <si>
    <t>Name of Distict</t>
  </si>
  <si>
    <t>State Share</t>
  </si>
  <si>
    <t>Table: AT-8A</t>
  </si>
  <si>
    <t>Total       (col. 8+9+  10+11)</t>
  </si>
  <si>
    <t>Total            (col 3+4 +5+6)</t>
  </si>
  <si>
    <t>Table: AT-6B</t>
  </si>
  <si>
    <t>kitchen cum store constructed through convergance</t>
  </si>
  <si>
    <t xml:space="preserve">Adhoc Grant (25%) </t>
  </si>
  <si>
    <t xml:space="preserve">(A) Recurring Assistance </t>
  </si>
  <si>
    <t xml:space="preserve">(B) Non-Recurring Assistance </t>
  </si>
  <si>
    <t>(Govt+LB)</t>
  </si>
  <si>
    <t>GA</t>
  </si>
  <si>
    <t>State Share(9+12-15)</t>
  </si>
  <si>
    <t>Total(10+13-16)</t>
  </si>
  <si>
    <t>Others( Please specify)</t>
  </si>
  <si>
    <t xml:space="preserve">No. of schools </t>
  </si>
  <si>
    <t>Name of  District</t>
  </si>
  <si>
    <t>S.no</t>
  </si>
  <si>
    <t>Madarsa/Maqtab</t>
  </si>
  <si>
    <t xml:space="preserve">Bills raised by FCI </t>
  </si>
  <si>
    <t xml:space="preserve">Central Assistance Released by GOI </t>
  </si>
  <si>
    <t>(Rs. in Lakh)</t>
  </si>
  <si>
    <t>Management, Supervision, Training,  Internal Monitoring and External Monitoring</t>
  </si>
  <si>
    <t xml:space="preserve">Central Assistance Received from GoI </t>
  </si>
  <si>
    <t xml:space="preserve">Released by State Govt. if any </t>
  </si>
  <si>
    <t xml:space="preserve">Remarks </t>
  </si>
  <si>
    <t>Total (col. 3+4+5+6)</t>
  </si>
  <si>
    <t>Deworming tablets distributed</t>
  </si>
  <si>
    <t>Table AT - 8 :UTILIZATION OF CENTRAL ASSISTANCE TOWARDS HONORARIUM TO COOK-CUM-HELPERS (Primary classes I-V)</t>
  </si>
  <si>
    <t>Distribution of spectacles</t>
  </si>
  <si>
    <t xml:space="preserve">If the cooking cost has been revised several times during the year, then all such costs should be indicated in separate rows and dates of their application in remarks column. </t>
  </si>
  <si>
    <t>Central             (col6+9-12)</t>
  </si>
  <si>
    <t>Central Share(8+11-14)</t>
  </si>
  <si>
    <t>Replacement of kitchen devices</t>
  </si>
  <si>
    <t>Madrasa / Maktabs</t>
  </si>
  <si>
    <t xml:space="preserve">Govt. </t>
  </si>
  <si>
    <t xml:space="preserve">Govt. aided </t>
  </si>
  <si>
    <t xml:space="preserve">Local body </t>
  </si>
  <si>
    <t>Recurring Assistance</t>
  </si>
  <si>
    <t>Non-Recurring Assistance</t>
  </si>
  <si>
    <t>Payment of Pending Bills of previous year</t>
  </si>
  <si>
    <t xml:space="preserve">Amount  </t>
  </si>
  <si>
    <t>Constructed with convergence</t>
  </si>
  <si>
    <t>Procured with convergence</t>
  </si>
  <si>
    <t>Academic Calendar (No. of Days)</t>
  </si>
  <si>
    <t>Total No. of schools excluding newly opened school</t>
  </si>
  <si>
    <t>No. of Schools not having Kitchen-cum-store</t>
  </si>
  <si>
    <t>No. of children enrolled</t>
  </si>
  <si>
    <t>Recurring Asssitance</t>
  </si>
  <si>
    <t>Non Recurring Assistance</t>
  </si>
  <si>
    <t>Mode of Payment (cash / cheque / e-transfer)</t>
  </si>
  <si>
    <t xml:space="preserve">  Unutilized Budget</t>
  </si>
  <si>
    <t>Gen.</t>
  </si>
  <si>
    <t>SC.</t>
  </si>
  <si>
    <t>ST.</t>
  </si>
  <si>
    <t>Rs. In lakh</t>
  </si>
  <si>
    <t>Gen</t>
  </si>
  <si>
    <t>2013-14</t>
  </si>
  <si>
    <t>Table: AT-3C</t>
  </si>
  <si>
    <t>Table: AT- 3</t>
  </si>
  <si>
    <t>Primary (I-V)</t>
  </si>
  <si>
    <t>Upper Primary (VI-VIII)</t>
  </si>
  <si>
    <t>Primary with Upper Primary (I-VIII)</t>
  </si>
  <si>
    <t>Total no.  of institutions
in the State</t>
  </si>
  <si>
    <t>Total no.  of institutions
Serving MDM in the State</t>
  </si>
  <si>
    <t>Reasons for difference, if any</t>
  </si>
  <si>
    <t>1</t>
  </si>
  <si>
    <t>2</t>
  </si>
  <si>
    <t>3</t>
  </si>
  <si>
    <t>4</t>
  </si>
  <si>
    <t>5</t>
  </si>
  <si>
    <t>6</t>
  </si>
  <si>
    <t>7</t>
  </si>
  <si>
    <t>8</t>
  </si>
  <si>
    <t>Note: The institutions already counted under primary(col. 3) and upper primary(col. 4) should not be counted again in primary with upper primary(col.5)</t>
  </si>
  <si>
    <t xml:space="preserve">Total Institutions </t>
  </si>
  <si>
    <t>No. of Inst. For which Annual data entry completed</t>
  </si>
  <si>
    <t>No. of Inst. For which Monthly data entry completed</t>
  </si>
  <si>
    <t>May</t>
  </si>
  <si>
    <t>Jun</t>
  </si>
  <si>
    <t>Jul</t>
  </si>
  <si>
    <t>Aug</t>
  </si>
  <si>
    <t>Sep</t>
  </si>
  <si>
    <t>Oct</t>
  </si>
  <si>
    <t>Nov</t>
  </si>
  <si>
    <t xml:space="preserve">                                                                                                                                                                              </t>
  </si>
  <si>
    <t xml:space="preserve">Sl. </t>
  </si>
  <si>
    <t>Designation</t>
  </si>
  <si>
    <t>Working under MDMS</t>
  </si>
  <si>
    <t>State level</t>
  </si>
  <si>
    <t>District Level</t>
  </si>
  <si>
    <t>Block Level</t>
  </si>
  <si>
    <t>9</t>
  </si>
  <si>
    <t>10</t>
  </si>
  <si>
    <t>11</t>
  </si>
  <si>
    <t>Regular Employee</t>
  </si>
  <si>
    <t xml:space="preserve">District </t>
  </si>
  <si>
    <t xml:space="preserve">Action Taken by State Govt. </t>
  </si>
  <si>
    <t>Gender</t>
  </si>
  <si>
    <t>Caste</t>
  </si>
  <si>
    <t>community</t>
  </si>
  <si>
    <t>Serving by disadvantaged section</t>
  </si>
  <si>
    <t>Sitting Arrangement</t>
  </si>
  <si>
    <t xml:space="preserve">Total no. of cent. kitchen </t>
  </si>
  <si>
    <t>Physical details</t>
  </si>
  <si>
    <t>Financial details (Rs. in Lakh)</t>
  </si>
  <si>
    <t>No. of Institutions covered</t>
  </si>
  <si>
    <t>No. of CCH engaged at schools covered by centralised kitchen</t>
  </si>
  <si>
    <t xml:space="preserve">Honorarium paid to cooks working at centralized kitchen </t>
  </si>
  <si>
    <t>Honorarium paid to CCH at schools  covered by centralised kitchen</t>
  </si>
  <si>
    <t>Total honorarium paid  (col 9 + 10)</t>
  </si>
  <si>
    <t xml:space="preserve">Total no. of NGOs covering &gt; 20000 children </t>
  </si>
  <si>
    <t>Name of NGOs</t>
  </si>
  <si>
    <t>Total no. of institutions covered</t>
  </si>
  <si>
    <t>Total no. of children covered</t>
  </si>
  <si>
    <t>Maximum distance covered from Centralised Kitchen</t>
  </si>
  <si>
    <t>Foodgrain (in MT)</t>
  </si>
  <si>
    <t>Cooking cost (Rs in Lakh)</t>
  </si>
  <si>
    <t>Honorarium to CCH (Rs in Lakh)</t>
  </si>
  <si>
    <t>Transportation Assistance (Rs in Lakh)</t>
  </si>
  <si>
    <t>Released</t>
  </si>
  <si>
    <t>Utilization</t>
  </si>
  <si>
    <t>12</t>
  </si>
  <si>
    <t>13</t>
  </si>
  <si>
    <t>14</t>
  </si>
  <si>
    <t>15</t>
  </si>
  <si>
    <t>State(Yes/No) Give details</t>
  </si>
  <si>
    <t>District (Yes/No) Give details</t>
  </si>
  <si>
    <t>Block (Yes/No) Give details</t>
  </si>
  <si>
    <t>Dedicated Nodal Department for MDM</t>
  </si>
  <si>
    <t>Dedicated Nodal official for MDM</t>
  </si>
  <si>
    <t>Mode of receiving complaints</t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</si>
  <si>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Toll free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</si>
  <si>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Dedicated landline number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</si>
  <si>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Call centre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</si>
  <si>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Emails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</si>
  <si>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Press news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</si>
  <si>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Radio/T.V.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</si>
  <si>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SMS</t>
    </r>
  </si>
  <si>
    <r>
      <rPr>
        <b/>
        <sz val="7"/>
        <color indexed="8"/>
        <rFont val="Calibri"/>
        <family val="2"/>
      </rPr>
      <t xml:space="preserve">  </t>
    </r>
    <r>
      <rPr>
        <b/>
        <sz val="10"/>
        <color indexed="8"/>
        <rFont val="Calibri"/>
        <family val="2"/>
      </rPr>
      <t>Postal system</t>
    </r>
  </si>
  <si>
    <t>Number of Complaints received and status of complaint</t>
  </si>
  <si>
    <t>Number of Complaints</t>
  </si>
  <si>
    <t>Year/Month  of receiving complaints</t>
  </si>
  <si>
    <t>Status of complaints</t>
  </si>
  <si>
    <t>Action taken</t>
  </si>
  <si>
    <t xml:space="preserve">Food Grain related issues </t>
  </si>
  <si>
    <t>Delay in Funds transfer</t>
  </si>
  <si>
    <t xml:space="preserve">Misappropriation of Funds </t>
  </si>
  <si>
    <t>Non payment of Honorarium to cook-cum-helpers</t>
  </si>
  <si>
    <t>Complaints against Centralized Kitchens/NGO/SHG</t>
  </si>
  <si>
    <t>Caste Discrimination</t>
  </si>
  <si>
    <t>Quality and Quantity of MDM</t>
  </si>
  <si>
    <t>Kitchen –cum-store</t>
  </si>
  <si>
    <t>Kitchen devices</t>
  </si>
  <si>
    <t xml:space="preserve">Mode of cooking /Fuel related </t>
  </si>
  <si>
    <t>Hygiene</t>
  </si>
  <si>
    <t>Harassment from Officials</t>
  </si>
  <si>
    <t xml:space="preserve">Non Distribution of medicines to children </t>
  </si>
  <si>
    <t>Corruption</t>
  </si>
  <si>
    <t xml:space="preserve">Inspection related </t>
  </si>
  <si>
    <t>Any untoward incident</t>
  </si>
  <si>
    <t>2014-15</t>
  </si>
  <si>
    <t>Free of cost</t>
  </si>
  <si>
    <t>Special Training Centers</t>
  </si>
  <si>
    <t>Total            (col 3+ 4+5+6)</t>
  </si>
  <si>
    <t>Total       (col. 8+9+ 10+11)</t>
  </si>
  <si>
    <t>Total       (col. 8+9+10+11)</t>
  </si>
  <si>
    <t>Table: AT-5 A</t>
  </si>
  <si>
    <t>Table: AT-5 C</t>
  </si>
  <si>
    <t>Table: AT-5 B</t>
  </si>
  <si>
    <r>
      <t xml:space="preserve">No. of working days </t>
    </r>
    <r>
      <rPr>
        <b/>
        <sz val="8"/>
        <color indexed="10"/>
        <rFont val="Arial"/>
        <family val="2"/>
      </rPr>
      <t xml:space="preserve">  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</si>
  <si>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r>
      <t>No. of working days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          </t>
    </r>
  </si>
  <si>
    <t>**: includes unspent balance at State, District, Block and school level (including NGOs/Private Agencies).</t>
  </si>
  <si>
    <t>* Including Drought also, if applicable</t>
  </si>
  <si>
    <t xml:space="preserve">Closing Balance**                  (col.4+5-6)                         </t>
  </si>
  <si>
    <t xml:space="preserve">Closing Balance** (col.9+10-11)                         </t>
  </si>
  <si>
    <t xml:space="preserve">No. of Cook-cum-helpers approved by  PAB-MDM </t>
  </si>
  <si>
    <t xml:space="preserve">Cooking Cost Recieved                        </t>
  </si>
  <si>
    <t xml:space="preserve"> Recieved                        </t>
  </si>
  <si>
    <t>No. of CCH recieving honorarium through Bank Account</t>
  </si>
  <si>
    <t>2006-07</t>
  </si>
  <si>
    <t>2007-08</t>
  </si>
  <si>
    <t>2008-09</t>
  </si>
  <si>
    <t>2009-10</t>
  </si>
  <si>
    <t>2010-11</t>
  </si>
  <si>
    <t>2011-12</t>
  </si>
  <si>
    <t>2012-13</t>
  </si>
  <si>
    <t>Table: AT-11A</t>
  </si>
  <si>
    <t xml:space="preserve">Total no of Cook-cum-helper </t>
  </si>
  <si>
    <t>Name of NGO</t>
  </si>
  <si>
    <t>No. of Kitchens</t>
  </si>
  <si>
    <t>No. of institution covered</t>
  </si>
  <si>
    <t>SMC/VEC / WEC</t>
  </si>
  <si>
    <t>Name of Trust</t>
  </si>
  <si>
    <t>No. of SHG</t>
  </si>
  <si>
    <t>Total no. of Institutions</t>
  </si>
  <si>
    <t>Status</t>
  </si>
  <si>
    <t>No . of schools to be covered</t>
  </si>
  <si>
    <t>No. of IEC Activities</t>
  </si>
  <si>
    <t>Level</t>
  </si>
  <si>
    <t>District/ Block</t>
  </si>
  <si>
    <t>School</t>
  </si>
  <si>
    <t>Tools</t>
  </si>
  <si>
    <t>Audio Video</t>
  </si>
  <si>
    <t>Print</t>
  </si>
  <si>
    <t>Traditional (Nukkad Natak, Folk Songs, Rallies, Others)</t>
  </si>
  <si>
    <t>Expendituer Incurred (in Rs)</t>
  </si>
  <si>
    <t>`</t>
  </si>
  <si>
    <t>No. of schools having hand washing facilities</t>
  </si>
  <si>
    <t>Tap</t>
  </si>
  <si>
    <t>Hand pump</t>
  </si>
  <si>
    <t>Pond/ well/ Stream</t>
  </si>
  <si>
    <t>Teacher</t>
  </si>
  <si>
    <t>Community</t>
  </si>
  <si>
    <t>CCH</t>
  </si>
  <si>
    <t>2. a.</t>
  </si>
  <si>
    <t>Name of food items</t>
  </si>
  <si>
    <t>Pending bills of previous year</t>
  </si>
  <si>
    <t xml:space="preserve">Name of Organization/ Institute for conducting social audit </t>
  </si>
  <si>
    <t>Completed (Yes/ No)</t>
  </si>
  <si>
    <t xml:space="preserve">In Progress (Training/ conduct at school/ public hearing)  </t>
  </si>
  <si>
    <t>Not yet started</t>
  </si>
  <si>
    <t>Action Taken by State Govt. on findings</t>
  </si>
  <si>
    <t>Total Exp.     (in Rs)</t>
  </si>
  <si>
    <t xml:space="preserve">State functionaries </t>
  </si>
  <si>
    <t xml:space="preserve">Source of information </t>
  </si>
  <si>
    <t xml:space="preserve">Media </t>
  </si>
  <si>
    <t>Social Audit Report</t>
  </si>
  <si>
    <t>Number of complaints on discrimination on</t>
  </si>
  <si>
    <t xml:space="preserve">Parent/Children/Community </t>
  </si>
  <si>
    <t>Total (col 6+7) *</t>
  </si>
  <si>
    <t>Nature of Complaints</t>
  </si>
  <si>
    <t>No. of CCH having bank account</t>
  </si>
  <si>
    <t>Quantity</t>
  </si>
  <si>
    <t>Cost (in Rs.)</t>
  </si>
  <si>
    <t>Frequency</t>
  </si>
  <si>
    <t>1. A - Honorarium to Cook cum helpers (per month):</t>
  </si>
  <si>
    <t xml:space="preserve">Special Training Centers : Special Training Centre under SSA, Education Gaurantee Scheme center, Alternative and Innovative Education and NCLP schools </t>
  </si>
  <si>
    <t xml:space="preserve">     of Labour Department. </t>
  </si>
  <si>
    <t xml:space="preserve">              of Labour Department. </t>
  </si>
  <si>
    <t>Table: AT-5 D</t>
  </si>
  <si>
    <t>Reasons for Less payment Col. (7-9)</t>
  </si>
  <si>
    <t>Table: AT-6C</t>
  </si>
  <si>
    <t>Table AT - 8A : UTILIZATION OF CENTRAL ASSISTANCE TOWARDS HONORARIUM TO COOK-CUM-HELPERS (Upper Primary classes VI-VIII)</t>
  </si>
  <si>
    <t>Rate  of Transportation Assistance (Per MT)</t>
  </si>
  <si>
    <t xml:space="preserve">Table: AT-11 : Sanction and Utilisation of Central assistance towards construction of Kitchen-cum-store (Primary &amp; Upper Primary,Classes I-VIII) </t>
  </si>
  <si>
    <t xml:space="preserve">Table: AT-11A : Sanction and Utilisation of Central assistance towards construction of Kitchen-cum-store (Primary &amp; Upper Primary,Classes I-VIII) </t>
  </si>
  <si>
    <t xml:space="preserve">Table: AT-12  : Sanction and Utilisation of Central assistance towards procurement of Kitchen Devices (Primary &amp; Upper Primary,Classes I-VIII) </t>
  </si>
  <si>
    <t>PAB Approval for CCH</t>
  </si>
  <si>
    <t>*No. of additional cooks required over and above PAB Approval</t>
  </si>
  <si>
    <t>No. of Primary Institutions</t>
  </si>
  <si>
    <t>No. of SMCs formed</t>
  </si>
  <si>
    <t>No. of Schools monitored by SMCs</t>
  </si>
  <si>
    <t>No. of Upper Primary Institutions</t>
  </si>
  <si>
    <t>Table: AT-18 : Formation of School Management Committee (SMC) at School Level for Monitoring the Scheme</t>
  </si>
  <si>
    <t>Table: AT-19 : Responsibility of Implementation</t>
  </si>
  <si>
    <t>Table: AT-19</t>
  </si>
  <si>
    <t>Weekly Iron &amp; Folic Acid Supplementation (WIFS)</t>
  </si>
  <si>
    <t>No. of CCH engaged at Cent. Kitchen</t>
  </si>
  <si>
    <t>* Total number of cook-cum-helpers can not exceed the norms for engagement of cook-cum-helpers.</t>
  </si>
  <si>
    <t>Multi tap</t>
  </si>
  <si>
    <t>Type of hand washing facilities (number of schools)</t>
  </si>
  <si>
    <t>Plinth Area 1 (20sq Mtr)</t>
  </si>
  <si>
    <t>Plinth Area 2 (24 sq Mtr)</t>
  </si>
  <si>
    <t>Plinth Area 3 (28 sq Mtr)</t>
  </si>
  <si>
    <t>Plinth Area 4 (32 sq Mtr)</t>
  </si>
  <si>
    <t>Total outlay (in Rs)</t>
  </si>
  <si>
    <t>Gen. Col. 3-Col.15</t>
  </si>
  <si>
    <t>SC.  Col. 4-Col.16</t>
  </si>
  <si>
    <t>ST.  Col. 5-Col.17</t>
  </si>
  <si>
    <t>Total Col. 19+Col.20+Col.21</t>
  </si>
  <si>
    <t>(Rs. In  Lakh)</t>
  </si>
  <si>
    <t>Total sanctioned</t>
  </si>
  <si>
    <t>Additional Food Items (per child)</t>
  </si>
  <si>
    <t>Contractual/Part time worker</t>
  </si>
  <si>
    <t>Full meal in lieu of MDM</t>
  </si>
  <si>
    <t>Children benefitted</t>
  </si>
  <si>
    <t>Meals served</t>
  </si>
  <si>
    <t>Name of the items</t>
  </si>
  <si>
    <t>In kind</t>
  </si>
  <si>
    <t>In any other form</t>
  </si>
  <si>
    <t>Additional Food Item</t>
  </si>
  <si>
    <t>Value
(In Rs)</t>
  </si>
  <si>
    <t xml:space="preserve">No. of schools received contribution </t>
  </si>
  <si>
    <t>2016-17</t>
  </si>
  <si>
    <t xml:space="preserve">No. of CCHs engaged  </t>
  </si>
  <si>
    <t xml:space="preserve">No. of CCHs engaged </t>
  </si>
  <si>
    <t xml:space="preserve">Procured (C) </t>
  </si>
  <si>
    <t>Table: AT-12 A</t>
  </si>
  <si>
    <t>Anticipated No. of working days for NCLP schools</t>
  </si>
  <si>
    <t xml:space="preserve">Cooking Cost </t>
  </si>
  <si>
    <t>Mid Day Meal Scheme</t>
  </si>
  <si>
    <t xml:space="preserve">Number of institutions </t>
  </si>
  <si>
    <t xml:space="preserve">Meals not served </t>
  </si>
  <si>
    <t>No. of working days</t>
  </si>
  <si>
    <t xml:space="preserve">Number of children </t>
  </si>
  <si>
    <t>Whether allowance is paid to children</t>
  </si>
  <si>
    <t xml:space="preserve">Foodgrains (Wheat/Rice/Coarse grain) </t>
  </si>
  <si>
    <t xml:space="preserve">Table: AT-12 A : Sanction and Utilisation of Central assistance towards replacement of Kitchen Devices  </t>
  </si>
  <si>
    <t xml:space="preserve">Proposed number of children  </t>
  </si>
  <si>
    <t>Note : State may indicate their plinth area and size of the kitchen-cum-stores if they have any other plinth area than mentioned in the table.</t>
  </si>
  <si>
    <t xml:space="preserve">No. of schools covered </t>
  </si>
  <si>
    <t xml:space="preserve">No. of children covered </t>
  </si>
  <si>
    <t>Health Check -ups carried out</t>
  </si>
  <si>
    <t>Mode of cooking (No. of Schools)</t>
  </si>
  <si>
    <t xml:space="preserve">LPG </t>
  </si>
  <si>
    <t>Solar cooker</t>
  </si>
  <si>
    <t>Fire wood</t>
  </si>
  <si>
    <t>Tasting of food (number of schools)</t>
  </si>
  <si>
    <t>Parents</t>
  </si>
  <si>
    <t xml:space="preserve">Name of the Accredited / Recognised lab engaged for testing </t>
  </si>
  <si>
    <t xml:space="preserve">Collected </t>
  </si>
  <si>
    <t>Tested</t>
  </si>
  <si>
    <t>Meeting norms</t>
  </si>
  <si>
    <t>Below norms</t>
  </si>
  <si>
    <t xml:space="preserve">Number of samples </t>
  </si>
  <si>
    <t>Result (No. of samples)</t>
  </si>
  <si>
    <t xml:space="preserve">Number of </t>
  </si>
  <si>
    <t>Schools inspected by Govt. officials</t>
  </si>
  <si>
    <t>Meetings of District level committee headed by the senior most Member of Parliament of Loksabha</t>
  </si>
  <si>
    <t>Meetings of District Steering cum Monitoring committee headed by District Megistrate</t>
  </si>
  <si>
    <t>Table: AT-10 A</t>
  </si>
  <si>
    <t>2017-18</t>
  </si>
  <si>
    <t>2015-16</t>
  </si>
  <si>
    <t>Constructed through convergence</t>
  </si>
  <si>
    <t>Procured through convergence</t>
  </si>
  <si>
    <t>Table AT- 13: Details of mode of cooking</t>
  </si>
  <si>
    <t>Table AT-13</t>
  </si>
  <si>
    <t>Table AT -14 : Quality, Safety and Hygiene</t>
  </si>
  <si>
    <t>Table: AT- 14</t>
  </si>
  <si>
    <t>Table AT -14 A : Testing of Food Samples by accredited labs</t>
  </si>
  <si>
    <t>Table: AT- 14 A</t>
  </si>
  <si>
    <t>Table AT -15 : Contribution by community in form of  Tithi Bhojan or any other similar practice</t>
  </si>
  <si>
    <t>Table: AT- 15</t>
  </si>
  <si>
    <t>Table AT -16 : Interuptions in serving of MDM and MDM allowance paid to children</t>
  </si>
  <si>
    <t>Table: AT- 16</t>
  </si>
  <si>
    <t>Table AT 21 :Details of engagement and apportionment of honorarium to cook cum helpers (CCH) between schools and centralized kitchen.</t>
  </si>
  <si>
    <t>Table - AT - 21</t>
  </si>
  <si>
    <t>Table AT -22 :Information on NGOs covering more than 20000 children, if any</t>
  </si>
  <si>
    <t>Table: AT- 22</t>
  </si>
  <si>
    <t>Table-AT- 23</t>
  </si>
  <si>
    <t>Table AT - 24 : Details of discrimination of any kind in MDMS</t>
  </si>
  <si>
    <t>Table - AT - 24</t>
  </si>
  <si>
    <t>Table AT- 25: Details of Grievance Redressal cell</t>
  </si>
  <si>
    <t>Table: AT- 25</t>
  </si>
  <si>
    <t>Table: AT-26</t>
  </si>
  <si>
    <t>Table: AT-26 A</t>
  </si>
  <si>
    <t>Table: AT-27</t>
  </si>
  <si>
    <t>Table: AT-27 A</t>
  </si>
  <si>
    <t>Table: AT-27 B</t>
  </si>
  <si>
    <t>Table: AT-28</t>
  </si>
  <si>
    <t xml:space="preserve">Table: AT-28 A </t>
  </si>
  <si>
    <t>Table: AT-29</t>
  </si>
  <si>
    <t>Table: AT-30</t>
  </si>
  <si>
    <t>Table: AT-2A</t>
  </si>
  <si>
    <t>No. of schools having parents roaster</t>
  </si>
  <si>
    <t>No. of schools having tasting register</t>
  </si>
  <si>
    <t xml:space="preserve">Table: AT-20 : Information on Cooking Agencies </t>
  </si>
  <si>
    <t xml:space="preserve">Table: AT-20 </t>
  </si>
  <si>
    <t>No. of Inst. For which daily data transferred to central server</t>
  </si>
  <si>
    <t>Table-AT- 23 A</t>
  </si>
  <si>
    <t>11 = 5+6+9+10</t>
  </si>
  <si>
    <t>Table AT -10 C :Details of IEC Activities</t>
  </si>
  <si>
    <t>Table - AT - 10 C</t>
  </si>
  <si>
    <t>Table: AT 10 D - Manpower dedicated for MDMS</t>
  </si>
  <si>
    <t>Table-AT- 10D</t>
  </si>
  <si>
    <t>Table: AT-31</t>
  </si>
  <si>
    <t>Contents</t>
  </si>
  <si>
    <t>Table No.</t>
  </si>
  <si>
    <t>Particulars</t>
  </si>
  <si>
    <t>AT- 1</t>
  </si>
  <si>
    <t>AT - 2</t>
  </si>
  <si>
    <t>AT - 2 A</t>
  </si>
  <si>
    <t>AT - 3</t>
  </si>
  <si>
    <t>AT- 3 A</t>
  </si>
  <si>
    <t>AT- 3 B</t>
  </si>
  <si>
    <t>AT-3 C</t>
  </si>
  <si>
    <t>AT - 4</t>
  </si>
  <si>
    <t>AT - 4 A</t>
  </si>
  <si>
    <t>Enrolment vis-a-vis availed for MDM  (Upper Primary, Classes VI - VIII)</t>
  </si>
  <si>
    <t>AT - 5</t>
  </si>
  <si>
    <t>AT - 5 A</t>
  </si>
  <si>
    <t>AT - 5 B</t>
  </si>
  <si>
    <t>AT - 5 C</t>
  </si>
  <si>
    <t>AT - 5 D</t>
  </si>
  <si>
    <t>AT - 6</t>
  </si>
  <si>
    <t>AT - 6 A</t>
  </si>
  <si>
    <t>AT - 6 B</t>
  </si>
  <si>
    <t>AT - 6 C</t>
  </si>
  <si>
    <t>AT - 7</t>
  </si>
  <si>
    <t>AT - 7 A</t>
  </si>
  <si>
    <t>AT - 8</t>
  </si>
  <si>
    <t>UTILIZATION OF CENTRAL ASSISTANCE TOWARDS HONORARIUM TO COOK-CUM-HELPERS (Primary classes I-V)</t>
  </si>
  <si>
    <t>AT - 8 A</t>
  </si>
  <si>
    <t>UTILIZATION OF CENTRAL ASSISTANCE TOWARDS HONORARIUM TO COOK-CUM-HELPERS (Upper Primary classes VI-VIII)</t>
  </si>
  <si>
    <t>AT - 9</t>
  </si>
  <si>
    <t>AT - 10</t>
  </si>
  <si>
    <t>AT - 10 A</t>
  </si>
  <si>
    <t>AT - 10 B</t>
  </si>
  <si>
    <t xml:space="preserve">Details of Social Audit </t>
  </si>
  <si>
    <t>AT - 10 C</t>
  </si>
  <si>
    <t>Details of IEC Activities</t>
  </si>
  <si>
    <t>AT - 10 D</t>
  </si>
  <si>
    <t>Manpower dedicated for MDMS</t>
  </si>
  <si>
    <t>AT - 11</t>
  </si>
  <si>
    <t xml:space="preserve">Sanction and Utilisation of Central assistance towards construction of Kitchen-cum-store (Primary &amp; Upper Primary,Classes I-VIII) </t>
  </si>
  <si>
    <t>AT - 11 A</t>
  </si>
  <si>
    <t>AT - 12</t>
  </si>
  <si>
    <t xml:space="preserve">Sanction and Utilisation of Central assistance towards procurement of Kitchen Devices (Primary &amp; Upper Primary,Classes I-VIII) </t>
  </si>
  <si>
    <t>AT - 12 A</t>
  </si>
  <si>
    <t>Sanction and Utilisation of Central assistance towards replacement of Kitchen Devices</t>
  </si>
  <si>
    <t>AT - 13</t>
  </si>
  <si>
    <t>Details of mode of cooking</t>
  </si>
  <si>
    <t>AT - 14</t>
  </si>
  <si>
    <t>Quality, Safety and Hygiene</t>
  </si>
  <si>
    <t>AT - 14 A</t>
  </si>
  <si>
    <t>Testing of Food Samples</t>
  </si>
  <si>
    <t>AT - 15</t>
  </si>
  <si>
    <t>Contribution by community in form of  Tithi Bhojan or any other similar practice</t>
  </si>
  <si>
    <t>AT - 16</t>
  </si>
  <si>
    <t>Interuptions in serving of MDM and MDM allowance paid to children</t>
  </si>
  <si>
    <t>AT - 17</t>
  </si>
  <si>
    <t>AT - 18</t>
  </si>
  <si>
    <t>Formation of School Management Committee (SMC) at School Level for Monitoring the Scheme</t>
  </si>
  <si>
    <t>AT - 19</t>
  </si>
  <si>
    <t>Responsibility of Implementation</t>
  </si>
  <si>
    <t>AT - 20</t>
  </si>
  <si>
    <t xml:space="preserve">Information on Cooking Agencies </t>
  </si>
  <si>
    <t>AT - 21</t>
  </si>
  <si>
    <t>Details of engagement and apportionment of honorarium to cook cum helpers (CCH) between schools and centralized kitchen.</t>
  </si>
  <si>
    <t>AT - 22</t>
  </si>
  <si>
    <t>Information on NGOs covering more than 20000 children, if any</t>
  </si>
  <si>
    <t>AT - 23</t>
  </si>
  <si>
    <t>AT - 23 A</t>
  </si>
  <si>
    <t>AT - 24</t>
  </si>
  <si>
    <t>Details of discrimination of any kind in MDMS</t>
  </si>
  <si>
    <t>AT - 25</t>
  </si>
  <si>
    <t>Details of Grievance Redressal cell</t>
  </si>
  <si>
    <t>AT - 26</t>
  </si>
  <si>
    <t>AT - 26 A</t>
  </si>
  <si>
    <t>AT - 27</t>
  </si>
  <si>
    <t>AT - 27 A</t>
  </si>
  <si>
    <t>AT - 27 B</t>
  </si>
  <si>
    <t>AT - 27 C</t>
  </si>
  <si>
    <t>AT - 27 D</t>
  </si>
  <si>
    <t>AT - 28</t>
  </si>
  <si>
    <t>AT - 28 A</t>
  </si>
  <si>
    <t>AT - 29</t>
  </si>
  <si>
    <t>AT - 30</t>
  </si>
  <si>
    <t>AT - 31</t>
  </si>
  <si>
    <t>Annual Work Plan and Budget 2018-19</t>
  </si>
  <si>
    <t>Table: AT-1: GENERAL INFORMATION for 2017-18</t>
  </si>
  <si>
    <t>Table: AT-2 :  Details of  Provisions  in the State Budget 2017-18</t>
  </si>
  <si>
    <t>Table: AT-2A : Releasing of Funds from State to Directorate / Authority / District / Block / School level for 2017-18</t>
  </si>
  <si>
    <t>Table AT-3: No. of Institutions in the State vis a vis Institutions serving MDM during 2017-18</t>
  </si>
  <si>
    <t>Table: AT-3A: No. of Institutions covered  (Primary, Classes I-V)  during 2017-18</t>
  </si>
  <si>
    <t>Table: AT-3B: No. of Institutions covered (Upper Primary with Primary, Classes I-VIII) during 2017-18</t>
  </si>
  <si>
    <t>Table: AT-3C: No. of Institutions covered (Upper Primary without Primary, Classes VI-VIII) during 2017-18</t>
  </si>
  <si>
    <t>Table: AT-4: Enrolment vis-à-vis availed for MDM  (Primary,Classes I- V) during 2017-18</t>
  </si>
  <si>
    <t>Enrolment (As on 30.09.2017)</t>
  </si>
  <si>
    <t>Table: AT-4A: Enrolment vis-a-vis availed for MDM  (Upper Primary, Classes VI - VIII) 2017-18</t>
  </si>
  <si>
    <t>TotalEnrolment (As on 30.09.2017)</t>
  </si>
  <si>
    <t>Table: AT-5:  PAB-MDM Approval vs. PERFORMANCE (Primary, Classes I - V) during 2017-18</t>
  </si>
  <si>
    <t>MDM-PAB Approval for 2017-18</t>
  </si>
  <si>
    <t>MDM-PAB Approval for2017-18</t>
  </si>
  <si>
    <t>Table: AT-5 C:  PAB-MDM Approval vs. PERFORMANCE (Primary, Classes I - V) during 2017-18 - Drought</t>
  </si>
  <si>
    <t>Table: AT-5 D:  PAB-MDM Approval vs. PERFORMANCE (Upper Primary, Classes VI to VIII) during 2017-18 - Drought</t>
  </si>
  <si>
    <t>Gross Allocation for the  FY 2017-18</t>
  </si>
  <si>
    <t>Opening Balance as on 01.4.17</t>
  </si>
  <si>
    <t>Opening Balance as on 01.04.17</t>
  </si>
  <si>
    <t>Table: AT-6B: PAYMENT OF COST OF FOOD GRAINS TO FCI (Primary and Upper Primary Classes I-VIII) during2017-18</t>
  </si>
  <si>
    <t>Allocation for cost of foodgrains for 2017-18</t>
  </si>
  <si>
    <t>Table: AT-6C: Utilisation of foodgrains (Coarse Grain) during 2017-18</t>
  </si>
  <si>
    <t xml:space="preserve">Allocation for 2017-18                                </t>
  </si>
  <si>
    <t xml:space="preserve">Opening Balance as on 01.04.2017                                     </t>
  </si>
  <si>
    <t>Allocation for 2017-18</t>
  </si>
  <si>
    <t>Opening Balance as on 01.04.2017</t>
  </si>
  <si>
    <t>Allocation for FY 2017-18</t>
  </si>
  <si>
    <t>Table: AT-9 : Utilisation of Central Assitance towards Transportation Assistance (Primary &amp; Upper Primary,Classes I-VIII) during 2017-18</t>
  </si>
  <si>
    <t>Opening balance as on 01.04.17</t>
  </si>
  <si>
    <t>Table: AT-10 :  Utilisation of Central Assistance towards MME  (Primary &amp; Upper Primary,Classes I-VIII) during 2017-18</t>
  </si>
  <si>
    <t>Allocation for  2017-18</t>
  </si>
  <si>
    <t>Table: AT-10 A : Details of Meetings at district level during 2017-18</t>
  </si>
  <si>
    <t xml:space="preserve">Table AT - 10 B : Details of Social Audit during 2017-18 </t>
  </si>
  <si>
    <t>Annual Work Plan and Budget  2018-19</t>
  </si>
  <si>
    <t>*Total sanctioned during 2006-07  to 2017-18</t>
  </si>
  <si>
    <t>*Total sanction during 2006-07 to 2017-18</t>
  </si>
  <si>
    <t>Annual Work Plan and Budget2018-19</t>
  </si>
  <si>
    <t>Table: AT-17 : Coverage under Rashtriya Bal Swasthya Karykram (School Health Programme) - 2017-18</t>
  </si>
  <si>
    <t>Table AT - 23 Annual and Monthly data entry status in MDM-MIS during 2017-18</t>
  </si>
  <si>
    <t>Annual Work Plan &amp; Budget 2018-19</t>
  </si>
  <si>
    <t xml:space="preserve">Mid Day Meal Scheme </t>
  </si>
  <si>
    <t>Table AT - 23 A- Implementation of Automated Monitoring System  during 2017-18</t>
  </si>
  <si>
    <t>Kitchen devices sanctioned during 2006-07 to 2017-18 under MDM</t>
  </si>
  <si>
    <t>Table: AT-5 A:  PAB-MDM Approval vs. PERFORMANCE (Upper Primary, Classes VI to VIII) during 2017-18</t>
  </si>
  <si>
    <t>Table: AT-5 B:  PAB-MDM Approval vs. PERFORMANCE - STC (NCLP Schools) during 2017-18</t>
  </si>
  <si>
    <t xml:space="preserve">Average number of children availed MDM </t>
  </si>
  <si>
    <t>Table: AT- 4B</t>
  </si>
  <si>
    <t xml:space="preserve">Table AT-4B: Information on Aadhaar Enrolment </t>
  </si>
  <si>
    <t>Total Enrolment</t>
  </si>
  <si>
    <t>Number of children having Aadhaar</t>
  </si>
  <si>
    <t>Number of children applied for Aadhaar</t>
  </si>
  <si>
    <t xml:space="preserve">Number of children without Aadhaar </t>
  </si>
  <si>
    <t>Number of proxy names deleted</t>
  </si>
  <si>
    <t>Table: AT- 10 E</t>
  </si>
  <si>
    <t>Table AT-10 E: Information on Kitchen Gardens</t>
  </si>
  <si>
    <t>Total no.  of institutions</t>
  </si>
  <si>
    <t>Total institutions where setting up of kitchen garden is possible</t>
  </si>
  <si>
    <t>No. of institutions already having kitchen gardens</t>
  </si>
  <si>
    <t>No. of institutions where setting up of kitchen garden is in progress</t>
  </si>
  <si>
    <t>No. of institutions where setting up of kitchen garden is proposed during 2018-19</t>
  </si>
  <si>
    <t>Amount paid to children (in Rs)</t>
  </si>
  <si>
    <t>Foodgrains provided to children (in MT)</t>
  </si>
  <si>
    <t>Covered through centralised kitchen</t>
  </si>
  <si>
    <t>Proposals for 2018-19</t>
  </si>
  <si>
    <t>Table: AT-26 : Number of School Working Days (Primary,Classes I-V) for 2018-19</t>
  </si>
  <si>
    <t>April,18</t>
  </si>
  <si>
    <t>May,18</t>
  </si>
  <si>
    <t>June,18</t>
  </si>
  <si>
    <t>July,18</t>
  </si>
  <si>
    <t>August,18</t>
  </si>
  <si>
    <t>September,18</t>
  </si>
  <si>
    <t>October,18</t>
  </si>
  <si>
    <t>November,18</t>
  </si>
  <si>
    <t>December,18</t>
  </si>
  <si>
    <t>January,19</t>
  </si>
  <si>
    <t>February,19</t>
  </si>
  <si>
    <t>March,19</t>
  </si>
  <si>
    <t>Table: AT-26A : Number of School Working Days (Upper Primary,Classes VI-VIII) for 2018-19</t>
  </si>
  <si>
    <t>Requirement of Pulses (in MTs)</t>
  </si>
  <si>
    <t>Table: AT-27: Proposal for coverage of children and working days  for 2018-19 (Primary Classes, I-V)</t>
  </si>
  <si>
    <t>Table: AT-27C : Proposal for coverage of children and working days  for Primary (Classes I-V) in Drought affected areas  during 2018-19</t>
  </si>
  <si>
    <t>Table: AT-27 A: Proposal for coverage of children and working days  for 2018-19 (Upper Primary,Classes VI-VIII)</t>
  </si>
  <si>
    <t>Table: AT-27 B: Proposal for coverage of children for NCLP Schools during 2018-19</t>
  </si>
  <si>
    <t>Table: AT-27C</t>
  </si>
  <si>
    <t>Table: AT-28: Requirement of kitchen-cum-stores in the Primary and Upper Primary schools for the year 2018-19</t>
  </si>
  <si>
    <t>Table: AT-28 A: Requirement of kitchen cum stores as per Plinth Area Norm in the Primary and Upper Primary schools for the year 2018-19</t>
  </si>
  <si>
    <t>Table: AT-29 : Requirement of Kitchen Devices during 2018-19 in Primary &amp; Upper Primary Schools</t>
  </si>
  <si>
    <t>Table: AT 30 :    Requirement of Cook cum Helpers for 2018-19</t>
  </si>
  <si>
    <t>Maximum number of institutions for which daily data transferred during the month</t>
  </si>
  <si>
    <t>Table: AT-6: Utilisation of foodgrains  (Primary, Classes I-V) during 2017-18</t>
  </si>
  <si>
    <t xml:space="preserve">Closing Balance*                 (col.4+5-6)                         </t>
  </si>
  <si>
    <t xml:space="preserve">Closing Balance*  (col.9+10-11)                         </t>
  </si>
  <si>
    <t>*: includes unspent balance at State, District, Block and school level (including NGOs/Private Agencies).</t>
  </si>
  <si>
    <t xml:space="preserve">Closing Balance*                  (col.4+5-6)                         </t>
  </si>
  <si>
    <t xml:space="preserve">Closing Balance* (col.9+10-11)                         </t>
  </si>
  <si>
    <t>Table: AT-6A: Utilisation of foodgrains  (Upper Primary, Classes VI-VIII) during 2017-18</t>
  </si>
  <si>
    <t>* State</t>
  </si>
  <si>
    <t>*State</t>
  </si>
  <si>
    <t xml:space="preserve">*State (col.7+10-13) </t>
  </si>
  <si>
    <t>*state share includes funds as well as monetary value of the commodities supplied by the State/UT</t>
  </si>
  <si>
    <t>Table: AT-7: Utilisation of Cooking Cost (Primary, Classes I-V) during 2017-18</t>
  </si>
  <si>
    <t>Table: AT-7A: Utilisation of Cooking cost (Upper Primary Classes, VI-VIII) for 2017-18</t>
  </si>
  <si>
    <t>* state share includes funds as well as monetary value of the commodities supplied by the State/UT</t>
  </si>
  <si>
    <t>Table - AT - 10 B</t>
  </si>
  <si>
    <t>*Total Sanction during 2012-13 to 2017-18</t>
  </si>
  <si>
    <t>Table: AT-27 D : Proposal for coverage of children and working days  for Upper Primary (Classes VI-VIII) in Drought affected areas  during 2018-19</t>
  </si>
  <si>
    <t>Table: AT-27 D</t>
  </si>
  <si>
    <t>Kitchen-cum-store sanctioned during 2006-07 to 2017-18</t>
  </si>
  <si>
    <t>Total No. of Cook-cum-helpers required in drought affected areas, if any</t>
  </si>
  <si>
    <t>Table: AT- 32</t>
  </si>
  <si>
    <t>Table: AT-32:  PAB-MDM Approval vs. PERFORMANCE (Primary Classes I to V) during 2017-18 - Drought</t>
  </si>
  <si>
    <t>Foodgrains</t>
  </si>
  <si>
    <t xml:space="preserve">Hon. to cook-cum-helpers </t>
  </si>
  <si>
    <t>Allocation</t>
  </si>
  <si>
    <t>Utilisation</t>
  </si>
  <si>
    <t>Allocation (Centre +State)</t>
  </si>
  <si>
    <t>Utilisation (Centre +State)</t>
  </si>
  <si>
    <t>Table: AT-32A</t>
  </si>
  <si>
    <t>Table: AT-32 A:  PAB-MDM Approval vs. PERFORMANCE (Upper Primary, Classes VI to VIII) during 2017-18 - Drought</t>
  </si>
  <si>
    <t>Information on Kitchen Garden</t>
  </si>
  <si>
    <t xml:space="preserve">AT - 10 E </t>
  </si>
  <si>
    <t>AT - 4 B</t>
  </si>
  <si>
    <t>Information on Aadhaar Enrolment</t>
  </si>
  <si>
    <t>AT - 32</t>
  </si>
  <si>
    <t>PAB-MDM Approval vs. PERFORMANCE (Primary Classes I to V) during 2017-18 - Drought</t>
  </si>
  <si>
    <t>AT - 32 A</t>
  </si>
  <si>
    <t>PAB-MDM Approval vs. PERFORMANCE (Upper Primary, Classes VI to VIII) during 2017-18 - Drought</t>
  </si>
  <si>
    <t>GENERAL INFORMATION for 2017-18</t>
  </si>
  <si>
    <t>Details of  Provisions  in the State Budget 2017-18</t>
  </si>
  <si>
    <t>Releasing of Funds from State to Directorate / Authority / District / Block / School level for 2017-18</t>
  </si>
  <si>
    <t>No. of Institutions in the State vis a vis Institutions serving MDM during 2017-18</t>
  </si>
  <si>
    <t>No. of Institutions covered  (Primary, Classes I-V)  during 2017-18</t>
  </si>
  <si>
    <t>No. of Institutions covered (Upper Primary with Primary, Classes I-VIII) during 2017-18</t>
  </si>
  <si>
    <t>No. of Institutions covered (Upper Primary without Primary, Classes VI-VIII) during 2017-18</t>
  </si>
  <si>
    <t>Enrolment vis-à-vis availed for MDM  (Primary,Classes I- V) during 2017-18</t>
  </si>
  <si>
    <t>PAB-MDM Approval vs. PERFORMANCE (Primary, Classes I - V) during 2017-18</t>
  </si>
  <si>
    <t>PAB-MDM Approval vs. PERFORMANCE (Upper Primary, Classes VI to VIII) during 2017-18</t>
  </si>
  <si>
    <t>PAB-MDM Approval vs. PERFORMANCE NCLP Schools during 2017-18</t>
  </si>
  <si>
    <t>PAB-MDM Approval vs. PERFORMANCE (Primary, Classes I - V) during 2017-18 - Drought</t>
  </si>
  <si>
    <t>Utilisation of foodgrains  (Primary, Classes I-V) during 2017-18</t>
  </si>
  <si>
    <t>Utilisation of foodgrains  (Upper Primary, Classes VI-VIII) during 2017-18</t>
  </si>
  <si>
    <t>PAYMENT OF COST OF FOOD GRAINS TO FCI (Primary and Upper Primary Classes I-VIII) during 2017-18</t>
  </si>
  <si>
    <t>Utilisation of foodgrains (Coarse Grain) during 2017-18</t>
  </si>
  <si>
    <t>Utilisation of Cooking Cost (Primary, Classes I-V) during 2017-18</t>
  </si>
  <si>
    <t>Utilisation of Cooking cost (Upper Primary Classes, VI-VIII) for 2017-18</t>
  </si>
  <si>
    <t>Utilisation of Central Assitance towards Transportation Assistance (Primary &amp; Upper Primary,Classes I-VIII) during 2017-18</t>
  </si>
  <si>
    <t>Utilisation of Central Assistance towards MME  (Primary &amp; Upper Primary,Classes I-VIII) during 2017-18</t>
  </si>
  <si>
    <t>Details of Meetings at district level during 2017-18</t>
  </si>
  <si>
    <t>Coverage under Rashtriya Bal Swasthya Karykram (School Health Programme) - 2017-18</t>
  </si>
  <si>
    <t>Annual and Monthly data entry status in MDM-MIS during 2017-18</t>
  </si>
  <si>
    <t>Implementation of Automated Monitoring System  during 2017-18</t>
  </si>
  <si>
    <t>Number of School Working Days (Upper Primary,Classes VI-VIII) for 2018-19</t>
  </si>
  <si>
    <t>Proposal for coverage of children and working days  for 2018-19  (Primary Classes, I-V)</t>
  </si>
  <si>
    <t>Proposal for coverage of children and working days  for 2018-19  (Upper Primary,Classes VI-VIII)</t>
  </si>
  <si>
    <t>Proposal for coverage of children for NCLP Schools during 2018-19</t>
  </si>
  <si>
    <t>Proposal for coverage of children and working days  for Primary (Classes I-V) in Drought affected areas  during 2018-19</t>
  </si>
  <si>
    <t>Proposal for coverage of children and working days  for  Upper Primary (Classes VI-VIII)in Drought affected areas  during 2018-19</t>
  </si>
  <si>
    <t>Requirement of kitchen-cum-stores in the Primary and Upper Primary schools for the year 2018-19</t>
  </si>
  <si>
    <t>Requirement of kitchen cum stores as per Plinth Area Norm in the Primary and Upper Primary schools for the year 2018-19</t>
  </si>
  <si>
    <t>Requirement of Kitchen Devices during 2018-19 in Primary &amp; Upper Primary Schools</t>
  </si>
  <si>
    <t>Requirement of Cook cum Helpers for 2018-19</t>
  </si>
  <si>
    <t>Budget Provision for the Year 2018-19</t>
  </si>
  <si>
    <t>(For the Period 01.04.17 to 31.03.18)</t>
  </si>
  <si>
    <t>During 01.04.17 to 31.03.2018</t>
  </si>
  <si>
    <t>During 01.04.17 to 31.03.18</t>
  </si>
  <si>
    <t>(For the Period 01.4.17 to 31.03.18)</t>
  </si>
  <si>
    <t>(As on 31st March, 2018)</t>
  </si>
  <si>
    <t>As on 31st March, 2018</t>
  </si>
  <si>
    <t>Budget Released till 31.03.2018</t>
  </si>
  <si>
    <t xml:space="preserve">Total Unspent Balance as on 31.03.2018   </t>
  </si>
  <si>
    <t xml:space="preserve">Total Unspent Balance as on 31.03.2018                                            </t>
  </si>
  <si>
    <t>Unspent Balance as on 31.03.2018</t>
  </si>
  <si>
    <r>
      <t xml:space="preserve">Unspent Balance as on 31.03.2018  [Col. 4+ Col.5+Col.6 -Col.8] </t>
    </r>
    <r>
      <rPr>
        <sz val="10"/>
        <rFont val="Arial"/>
        <family val="2"/>
      </rPr>
      <t xml:space="preserve"> </t>
    </r>
  </si>
  <si>
    <t>Unspent balance as on 31.03.2018               [Col: (4+5)-7]</t>
  </si>
  <si>
    <t>Feb</t>
  </si>
  <si>
    <t>Mar</t>
  </si>
  <si>
    <t>Apr, 2017</t>
  </si>
  <si>
    <t>Dec, 2017</t>
  </si>
  <si>
    <t>Jan, 2018</t>
  </si>
  <si>
    <t>Coarse Grains</t>
  </si>
  <si>
    <t>Table: AT-31 : Budget Provision for the Year 2018-19</t>
  </si>
  <si>
    <r>
      <t xml:space="preserve">No. of working days </t>
    </r>
    <r>
      <rPr>
        <b/>
        <sz val="8"/>
        <rFont val="Arial"/>
        <family val="2"/>
      </rPr>
      <t xml:space="preserve">(During 01.04.17 to 31.03.18)     </t>
    </r>
    <r>
      <rPr>
        <b/>
        <sz val="10"/>
        <rFont val="Arial"/>
        <family val="2"/>
      </rPr>
      <t xml:space="preserve">             </t>
    </r>
  </si>
  <si>
    <t>Number of School Working Days (Primary,Classes I-V) for 2018-19</t>
  </si>
  <si>
    <t xml:space="preserve">No. of working days (During 01.04.17 to 31.03.18)                  </t>
  </si>
  <si>
    <t>Engaged in 2017-18</t>
  </si>
  <si>
    <t>2018-19</t>
  </si>
  <si>
    <t>Table: AT- 10 F</t>
  </si>
  <si>
    <t>Total Schools</t>
  </si>
  <si>
    <t>Schools having drinking water facilities</t>
  </si>
  <si>
    <t>Schools having safe drinking water facilities</t>
  </si>
  <si>
    <t>Number of Schools having facility of water filtration</t>
  </si>
  <si>
    <t>Types of filtration* used (number of schools)</t>
  </si>
  <si>
    <t>Any Innovation for purification of water</t>
  </si>
  <si>
    <t>Source of Funds used</t>
  </si>
  <si>
    <t>Membrane technology Purification</t>
  </si>
  <si>
    <t>UV purification or e-boiling</t>
  </si>
  <si>
    <t>Candle filter purifier</t>
  </si>
  <si>
    <t>Activated carbon filter purifier</t>
  </si>
  <si>
    <t>CSR</t>
  </si>
  <si>
    <t>Donations etc.</t>
  </si>
  <si>
    <t>RO</t>
  </si>
  <si>
    <t>UF</t>
  </si>
  <si>
    <t>AT - 10 F</t>
  </si>
  <si>
    <t>Information on Drinking water facilites</t>
  </si>
  <si>
    <t>Table AT-10 F: Information on Drinking water facilites</t>
  </si>
  <si>
    <t>cost of food grain</t>
  </si>
  <si>
    <t>hon of cook cum helper</t>
  </si>
  <si>
    <t>Cettral share</t>
  </si>
  <si>
    <t>State share</t>
  </si>
  <si>
    <t>Ist Installment</t>
  </si>
  <si>
    <t>Advohac</t>
  </si>
  <si>
    <t>Iind Installment-I</t>
  </si>
  <si>
    <t>Iind Installment-II</t>
  </si>
  <si>
    <t>Ahmednagar</t>
  </si>
  <si>
    <t>Akola</t>
  </si>
  <si>
    <t>Amravati</t>
  </si>
  <si>
    <t>Aurangabad</t>
  </si>
  <si>
    <t>Beed</t>
  </si>
  <si>
    <t>Bhandara</t>
  </si>
  <si>
    <t>Buldhana</t>
  </si>
  <si>
    <t>Chandrapur</t>
  </si>
  <si>
    <t>Dhule</t>
  </si>
  <si>
    <t>Gadchiroli</t>
  </si>
  <si>
    <t>Gondiya</t>
  </si>
  <si>
    <t>Hingoli</t>
  </si>
  <si>
    <t>Jalgaon</t>
  </si>
  <si>
    <t>Jalna</t>
  </si>
  <si>
    <t>Kolhapur</t>
  </si>
  <si>
    <t>Latur</t>
  </si>
  <si>
    <t>Mumbai</t>
  </si>
  <si>
    <t>Nagpur</t>
  </si>
  <si>
    <t>Nanded</t>
  </si>
  <si>
    <t>Nandurbar</t>
  </si>
  <si>
    <t>Nashik</t>
  </si>
  <si>
    <t>Osmanabad</t>
  </si>
  <si>
    <t>Parbhani</t>
  </si>
  <si>
    <t>Pune</t>
  </si>
  <si>
    <t>Raigad</t>
  </si>
  <si>
    <t>Ratnagiri</t>
  </si>
  <si>
    <t>Sangli</t>
  </si>
  <si>
    <t>Satara</t>
  </si>
  <si>
    <t>Sindhudurga</t>
  </si>
  <si>
    <t>Solapur</t>
  </si>
  <si>
    <t>Thane</t>
  </si>
  <si>
    <t>Palghar</t>
  </si>
  <si>
    <t>Wardha</t>
  </si>
  <si>
    <t>Washim</t>
  </si>
  <si>
    <t>Yavatmal</t>
  </si>
  <si>
    <t>rice</t>
  </si>
  <si>
    <t>cost</t>
  </si>
  <si>
    <t>transport</t>
  </si>
  <si>
    <t>cooking</t>
  </si>
  <si>
    <t>cch</t>
  </si>
  <si>
    <t>mme</t>
  </si>
  <si>
    <t>Included in Thane</t>
  </si>
  <si>
    <t>RTGS/NEFT</t>
  </si>
  <si>
    <t>1 Data Entry Operator</t>
  </si>
  <si>
    <t>Pulse 1 (Turdal)</t>
  </si>
  <si>
    <t>Pulse 2 (Mugdal)</t>
  </si>
  <si>
    <t>†Æü´Ö¤ü®ÖÝÖ¸ü</t>
  </si>
  <si>
    <t>†ÛúÖê»ÖÖ</t>
  </si>
  <si>
    <t>†´Ö¸üÖ¾ÖŸÖß</t>
  </si>
  <si>
    <t>†Öî¸ÓüÝÖÖ²ÖÖ¤ü</t>
  </si>
  <si>
    <t>²Öß›ü</t>
  </si>
  <si>
    <t>³ÖÓ›üÖ¸üÖ</t>
  </si>
  <si>
    <t>²Öã»ÖœüÖÞÖÖ</t>
  </si>
  <si>
    <t>“ÖÓ¦ü¯Öæ¸ü</t>
  </si>
  <si>
    <t>¬Öãôêû</t>
  </si>
  <si>
    <t>ÝÖ›ü×“Ö¸üÖê»Öß</t>
  </si>
  <si>
    <t>ÝÖÖë×¤üµÖÖ</t>
  </si>
  <si>
    <t>ØÆüÝÖÖê»Öß</t>
  </si>
  <si>
    <t>•ÖôûÝÖÖ¾Ö</t>
  </si>
  <si>
    <t>•ÖÖ»Ö®ÖÖ</t>
  </si>
  <si>
    <t>ÛúÖê»ÆüÖ¯Öæ¸ü</t>
  </si>
  <si>
    <t>»ÖÖŸÖæ¸ü</t>
  </si>
  <si>
    <t>®ÖÖÝÖ¯Öæ¸ü</t>
  </si>
  <si>
    <t>®ÖÖÓ¤êü›ü</t>
  </si>
  <si>
    <t>®ÖÓ¤ãü¸ü²ÖÖ¸ü</t>
  </si>
  <si>
    <t>®ÖÖ×¿ÖÛú</t>
  </si>
  <si>
    <t>ˆÃ´ÖÖ®ÖÖ²ÖÖ¤ü</t>
  </si>
  <si>
    <t>¯ÖÖ»Ö‘Ö¸ü</t>
  </si>
  <si>
    <t>¯Ö¸ü³ÖÞÖß</t>
  </si>
  <si>
    <t>¯ÖãÞÖê</t>
  </si>
  <si>
    <t>¸üÖµÖÝÖ›ü</t>
  </si>
  <si>
    <t>¸üŸ®ÖÖ×ÝÖ¸üß</t>
  </si>
  <si>
    <t>ÃÖÖÓÝÖ»Öß</t>
  </si>
  <si>
    <t>ÃÖÖŸÖÖ¸üÖ</t>
  </si>
  <si>
    <t>ØÃÖ¬Öã¤ãüÝÖÔ</t>
  </si>
  <si>
    <t>ÃÖÖê»ÖÖ¯Öæ¸ü</t>
  </si>
  <si>
    <t>šüÖÞÖê</t>
  </si>
  <si>
    <t>¾Ö¬ÖÖÔ</t>
  </si>
  <si>
    <t>¾ÖÖ×¿Ö´Ö</t>
  </si>
  <si>
    <t>1 Statistical Officer</t>
  </si>
  <si>
    <t>2 Account Officer</t>
  </si>
  <si>
    <t>3 Supritendent</t>
  </si>
  <si>
    <t>e Transfer</t>
  </si>
  <si>
    <t>Amaravati</t>
  </si>
  <si>
    <t>15*</t>
  </si>
  <si>
    <t>Banana</t>
  </si>
  <si>
    <t>Soya Biscuts</t>
  </si>
  <si>
    <t xml:space="preserve">Rajgira ladu </t>
  </si>
  <si>
    <t>Chikki</t>
  </si>
  <si>
    <t>Laddu, Jalebi, Halva</t>
  </si>
  <si>
    <t>Akshypatra</t>
  </si>
  <si>
    <t xml:space="preserve">                                                                                                                                               </t>
  </si>
  <si>
    <t>13/12 &amp;</t>
  </si>
  <si>
    <t>Biogas</t>
  </si>
  <si>
    <t>Modak, Ladu Jalebi</t>
  </si>
  <si>
    <t>Pulse 5 (Watana/Gram)</t>
  </si>
  <si>
    <t>Pulse 4 (Massor/Moong)</t>
  </si>
  <si>
    <t>Pulse 3 (Matki/ Chwali)</t>
  </si>
  <si>
    <t>Gobar gas Z.P. P.S. Babuwadi, Chartha, Tal. Aurangabad</t>
  </si>
  <si>
    <t>Iskon 
Food releif foundation</t>
  </si>
  <si>
    <t>163 attached to central kitchem</t>
  </si>
  <si>
    <t xml:space="preserve">       </t>
  </si>
  <si>
    <t>9550.800+9550.800+</t>
  </si>
  <si>
    <t>New Mumbai</t>
  </si>
  <si>
    <t>Banana, Shira</t>
  </si>
  <si>
    <t>##$$</t>
  </si>
  <si>
    <t>$$##</t>
  </si>
  <si>
    <t>Reports awated</t>
  </si>
  <si>
    <t xml:space="preserve">Laddu, Jalebi, Fruts,eggs, </t>
  </si>
  <si>
    <t>Eggs, Jalebi, Laddu</t>
  </si>
  <si>
    <t>Laddu Jalebi, Bundi</t>
  </si>
  <si>
    <t>no need central kitchen</t>
  </si>
  <si>
    <t>result awated</t>
  </si>
  <si>
    <t>Gulab Jamun, Kadhi</t>
  </si>
  <si>
    <t>bmc grant</t>
  </si>
  <si>
    <t>Iskon food relief foundation</t>
  </si>
  <si>
    <t>Ahilydevi charitable trust</t>
  </si>
  <si>
    <t>surrender 
works</t>
  </si>
  <si>
    <t>surrender
 amount</t>
  </si>
  <si>
    <t>By ZP</t>
  </si>
  <si>
    <t>Financial ( Rs. in lakh)  [col. 4-col.6-col.8]</t>
  </si>
  <si>
    <t>Donared</t>
  </si>
  <si>
    <t xml:space="preserve">Shira, Bundi Laddu, </t>
  </si>
  <si>
    <r>
      <t>Financial (</t>
    </r>
    <r>
      <rPr>
        <b/>
        <i/>
        <sz val="13"/>
        <rFont val="Arial"/>
        <family val="2"/>
      </rPr>
      <t>Rs. in lakh)</t>
    </r>
  </si>
  <si>
    <t>Jilebe,ladu,shira</t>
  </si>
  <si>
    <t>Proposal of surrender is submitted</t>
  </si>
  <si>
    <t>Report awated</t>
  </si>
  <si>
    <t>Iskon &amp; Naik Foundation</t>
  </si>
  <si>
    <t>Iskon</t>
  </si>
  <si>
    <t>ISKON</t>
  </si>
  <si>
    <t>Jalebi, Sonpapdi, Motichur laddu</t>
  </si>
  <si>
    <t>up primary</t>
  </si>
  <si>
    <t>drought</t>
  </si>
  <si>
    <t>nclp</t>
  </si>
  <si>
    <t>State / UT: Maharashtra</t>
  </si>
  <si>
    <t>State / UT:Maharashtra</t>
  </si>
  <si>
    <t>No</t>
  </si>
  <si>
    <t>Yes</t>
  </si>
  <si>
    <t>By Phone, E-mail, Letter, News paper, News</t>
  </si>
  <si>
    <t>Solapur, Nashik, Raigad</t>
  </si>
  <si>
    <t>Raigad &amp; Solapr</t>
  </si>
  <si>
    <t>Solved</t>
  </si>
  <si>
    <t>Nov 17 &amp; Feb-18</t>
  </si>
  <si>
    <t>Instruction Given to E.O</t>
  </si>
  <si>
    <t xml:space="preserve">Recovery amount </t>
  </si>
  <si>
    <t>Weekly any one as per the avaliability of funds (within cooking cost)</t>
  </si>
  <si>
    <t>197 private schools are not willing</t>
  </si>
  <si>
    <t>private schools are not willing</t>
  </si>
  <si>
    <t>Included in primary</t>
  </si>
  <si>
    <t>Rs.1200 (State is providing Rs 450 from its own share)</t>
  </si>
  <si>
    <t>STATE/UT: Maharashtra</t>
  </si>
  <si>
    <t>Director (Primary)</t>
  </si>
  <si>
    <t>Directorate of Primary Education</t>
  </si>
  <si>
    <t>Govt. of Maharashtra</t>
  </si>
  <si>
    <t xml:space="preserve">Principal Secretary </t>
  </si>
  <si>
    <t xml:space="preserve">Department of School Education &amp; Sport </t>
  </si>
  <si>
    <r>
      <t>Financial (</t>
    </r>
    <r>
      <rPr>
        <b/>
        <i/>
        <sz val="9"/>
        <rFont val="Arial"/>
        <family val="2"/>
      </rPr>
      <t>Rs. in lakh)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</si>
</sst>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0.0000000"/>
  </numFmts>
  <fonts count="1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u val="single"/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Calibri"/>
      <family val="2"/>
    </font>
    <font>
      <i/>
      <u val="single"/>
      <sz val="11"/>
      <name val="Arial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i/>
      <sz val="10"/>
      <name val="Trebuchet MS"/>
      <family val="2"/>
    </font>
    <font>
      <b/>
      <sz val="7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i/>
      <sz val="12"/>
      <name val="Trebuchet MS"/>
      <family val="2"/>
    </font>
    <font>
      <b/>
      <sz val="8"/>
      <name val="Arial"/>
      <family val="2"/>
    </font>
    <font>
      <sz val="36"/>
      <name val="Arial"/>
      <family val="2"/>
    </font>
    <font>
      <sz val="28"/>
      <name val="Arial"/>
      <family val="2"/>
    </font>
    <font>
      <b/>
      <sz val="13"/>
      <name val="Arial"/>
      <family val="2"/>
    </font>
    <font>
      <sz val="16"/>
      <name val="DVBW-TTSurekh"/>
      <family val="0"/>
    </font>
    <font>
      <sz val="13"/>
      <name val="Arial"/>
      <family val="2"/>
    </font>
    <font>
      <b/>
      <i/>
      <u val="single"/>
      <sz val="13"/>
      <name val="Arial"/>
      <family val="2"/>
    </font>
    <font>
      <b/>
      <u val="single"/>
      <sz val="13"/>
      <name val="Arial"/>
      <family val="2"/>
    </font>
    <font>
      <b/>
      <i/>
      <sz val="13"/>
      <name val="Arial"/>
      <family val="2"/>
    </font>
    <font>
      <i/>
      <sz val="10"/>
      <name val="Trebuchet MS"/>
      <family val="2"/>
    </font>
    <font>
      <sz val="13"/>
      <color indexed="8"/>
      <name val="Arial"/>
      <family val="2"/>
    </font>
    <font>
      <b/>
      <u val="single"/>
      <sz val="13"/>
      <color indexed="8"/>
      <name val="Arial"/>
      <family val="2"/>
    </font>
    <font>
      <b/>
      <sz val="13"/>
      <color indexed="8"/>
      <name val="Arial"/>
      <family val="2"/>
    </font>
    <font>
      <b/>
      <i/>
      <sz val="13"/>
      <color indexed="8"/>
      <name val="Arial"/>
      <family val="2"/>
    </font>
    <font>
      <i/>
      <sz val="13"/>
      <name val="Arial"/>
      <family val="2"/>
    </font>
    <font>
      <sz val="10"/>
      <color indexed="8"/>
      <name val="Arial"/>
      <family val="2"/>
    </font>
    <font>
      <sz val="22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8"/>
      <name val="Calibri"/>
      <family val="2"/>
    </font>
    <font>
      <b/>
      <sz val="54"/>
      <name val="Calibri"/>
      <family val="0"/>
    </font>
    <font>
      <b/>
      <sz val="44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i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Calibri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mbria"/>
      <family val="1"/>
    </font>
    <font>
      <b/>
      <i/>
      <sz val="10"/>
      <color theme="1"/>
      <name val="Cambria"/>
      <family val="1"/>
    </font>
    <font>
      <b/>
      <i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9"/>
      <color theme="1"/>
      <name val="Cambria"/>
      <family val="1"/>
    </font>
    <font>
      <b/>
      <sz val="10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97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0" fillId="0" borderId="14" xfId="0" applyBorder="1" applyAlignment="1">
      <alignment/>
    </xf>
    <xf numFmtId="0" fontId="16" fillId="0" borderId="11" xfId="0" applyFont="1" applyBorder="1" applyAlignment="1" quotePrefix="1">
      <alignment horizontal="center" vertical="top" wrapText="1"/>
    </xf>
    <xf numFmtId="0" fontId="14" fillId="0" borderId="11" xfId="0" applyFont="1" applyBorder="1" applyAlignment="1">
      <alignment horizontal="center" wrapText="1"/>
    </xf>
    <xf numFmtId="0" fontId="18" fillId="0" borderId="0" xfId="57" applyFont="1">
      <alignment/>
      <protection/>
    </xf>
    <xf numFmtId="0" fontId="19" fillId="0" borderId="11" xfId="57" applyFont="1" applyBorder="1" applyAlignment="1">
      <alignment horizontal="center" vertical="top" wrapText="1"/>
      <protection/>
    </xf>
    <xf numFmtId="0" fontId="97" fillId="0" borderId="0" xfId="57">
      <alignment/>
      <protection/>
    </xf>
    <xf numFmtId="0" fontId="97" fillId="0" borderId="0" xfId="57" applyAlignment="1">
      <alignment horizontal="left"/>
      <protection/>
    </xf>
    <xf numFmtId="0" fontId="20" fillId="0" borderId="0" xfId="57" applyFont="1" applyAlignment="1">
      <alignment horizontal="left"/>
      <protection/>
    </xf>
    <xf numFmtId="0" fontId="97" fillId="0" borderId="16" xfId="57" applyBorder="1" applyAlignment="1">
      <alignment horizont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97" fillId="0" borderId="11" xfId="57" applyBorder="1">
      <alignment/>
      <protection/>
    </xf>
    <xf numFmtId="0" fontId="97" fillId="0" borderId="0" xfId="57" applyBorder="1">
      <alignment/>
      <protection/>
    </xf>
    <xf numFmtId="0" fontId="2" fillId="0" borderId="0" xfId="0" applyFont="1" applyAlignment="1">
      <alignment vertical="top" wrapText="1"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0" fillId="0" borderId="0" xfId="59">
      <alignment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>
      <alignment/>
      <protection/>
    </xf>
    <xf numFmtId="0" fontId="2" fillId="0" borderId="11" xfId="59" applyFont="1" applyBorder="1" applyAlignment="1">
      <alignment horizontal="center"/>
      <protection/>
    </xf>
    <xf numFmtId="0" fontId="2" fillId="0" borderId="11" xfId="59" applyFont="1" applyBorder="1" applyAlignment="1">
      <alignment horizontal="center" vertical="top" wrapText="1"/>
      <protection/>
    </xf>
    <xf numFmtId="0" fontId="0" fillId="0" borderId="11" xfId="59" applyBorder="1" applyAlignment="1">
      <alignment horizontal="center"/>
      <protection/>
    </xf>
    <xf numFmtId="0" fontId="0" fillId="0" borderId="11" xfId="59" applyBorder="1">
      <alignment/>
      <protection/>
    </xf>
    <xf numFmtId="0" fontId="2" fillId="0" borderId="0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6" fillId="0" borderId="0" xfId="59" applyFont="1">
      <alignment/>
      <protection/>
    </xf>
    <xf numFmtId="0" fontId="2" fillId="0" borderId="0" xfId="59" applyFont="1">
      <alignment/>
      <protection/>
    </xf>
    <xf numFmtId="0" fontId="3" fillId="0" borderId="0" xfId="59" applyFont="1" applyAlignment="1">
      <alignment/>
      <protection/>
    </xf>
    <xf numFmtId="0" fontId="16" fillId="0" borderId="16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2" fillId="0" borderId="18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8" fillId="0" borderId="0" xfId="57" applyFont="1" applyBorder="1">
      <alignment/>
      <protection/>
    </xf>
    <xf numFmtId="0" fontId="2" fillId="0" borderId="19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22" fillId="0" borderId="0" xfId="57" applyFont="1">
      <alignment/>
      <protection/>
    </xf>
    <xf numFmtId="0" fontId="97" fillId="0" borderId="11" xfId="57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59" applyFont="1" applyBorder="1">
      <alignment/>
      <protection/>
    </xf>
    <xf numFmtId="0" fontId="17" fillId="0" borderId="0" xfId="57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9" fillId="0" borderId="12" xfId="57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59" applyFont="1" applyAlignment="1">
      <alignment horizontal="center"/>
      <protection/>
    </xf>
    <xf numFmtId="0" fontId="17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10" fillId="0" borderId="0" xfId="59" applyFont="1" applyAlignment="1">
      <alignment/>
      <protection/>
    </xf>
    <xf numFmtId="0" fontId="16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0" xfId="59" applyFont="1" applyAlignment="1">
      <alignment vertical="top" wrapText="1"/>
      <protection/>
    </xf>
    <xf numFmtId="0" fontId="13" fillId="0" borderId="0" xfId="0" applyFont="1" applyAlignment="1">
      <alignment horizontal="left"/>
    </xf>
    <xf numFmtId="0" fontId="0" fillId="0" borderId="0" xfId="57" applyFont="1">
      <alignment/>
      <protection/>
    </xf>
    <xf numFmtId="0" fontId="5" fillId="0" borderId="0" xfId="57" applyFont="1" applyAlignment="1">
      <alignment horizontal="center"/>
      <protection/>
    </xf>
    <xf numFmtId="0" fontId="2" fillId="0" borderId="11" xfId="57" applyFont="1" applyBorder="1" applyAlignment="1">
      <alignment horizontal="center" vertical="top" wrapText="1"/>
      <protection/>
    </xf>
    <xf numFmtId="0" fontId="0" fillId="0" borderId="11" xfId="57" applyFont="1" applyBorder="1">
      <alignment/>
      <protection/>
    </xf>
    <xf numFmtId="0" fontId="5" fillId="0" borderId="11" xfId="57" applyFont="1" applyBorder="1" applyAlignment="1">
      <alignment horizontal="center"/>
      <protection/>
    </xf>
    <xf numFmtId="0" fontId="8" fillId="0" borderId="11" xfId="57" applyFont="1" applyBorder="1">
      <alignment/>
      <protection/>
    </xf>
    <xf numFmtId="0" fontId="8" fillId="0" borderId="11" xfId="57" applyFont="1" applyFill="1" applyBorder="1" applyAlignment="1">
      <alignment horizontal="left"/>
      <protection/>
    </xf>
    <xf numFmtId="0" fontId="8" fillId="0" borderId="0" xfId="57" applyFont="1">
      <alignment/>
      <protection/>
    </xf>
    <xf numFmtId="0" fontId="6" fillId="0" borderId="11" xfId="57" applyFont="1" applyBorder="1" applyAlignment="1">
      <alignment vertical="top" wrapText="1"/>
      <protection/>
    </xf>
    <xf numFmtId="0" fontId="2" fillId="0" borderId="11" xfId="57" applyFont="1" applyBorder="1">
      <alignment/>
      <protection/>
    </xf>
    <xf numFmtId="0" fontId="0" fillId="0" borderId="11" xfId="57" applyFont="1" applyBorder="1" applyAlignment="1">
      <alignment/>
      <protection/>
    </xf>
    <xf numFmtId="0" fontId="0" fillId="0" borderId="11" xfId="57" applyFont="1" applyBorder="1" applyAlignment="1">
      <alignment horizontal="center"/>
      <protection/>
    </xf>
    <xf numFmtId="0" fontId="16" fillId="0" borderId="11" xfId="57" applyFont="1" applyBorder="1" applyAlignment="1">
      <alignment horizontal="center"/>
      <protection/>
    </xf>
    <xf numFmtId="0" fontId="16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21" fillId="0" borderId="14" xfId="57" applyFont="1" applyBorder="1" applyAlignment="1">
      <alignment horizontal="center" vertical="top" wrapText="1"/>
      <protection/>
    </xf>
    <xf numFmtId="0" fontId="14" fillId="0" borderId="0" xfId="0" applyFont="1" applyAlignment="1">
      <alignment horizontal="center"/>
    </xf>
    <xf numFmtId="0" fontId="26" fillId="0" borderId="0" xfId="57" applyFont="1" applyAlignment="1">
      <alignment horizontal="center"/>
      <protection/>
    </xf>
    <xf numFmtId="0" fontId="0" fillId="0" borderId="11" xfId="59" applyFont="1" applyBorder="1" applyAlignment="1">
      <alignment horizontal="center" vertical="top" wrapText="1"/>
      <protection/>
    </xf>
    <xf numFmtId="0" fontId="0" fillId="0" borderId="0" xfId="59" applyFont="1">
      <alignment/>
      <protection/>
    </xf>
    <xf numFmtId="0" fontId="2" fillId="0" borderId="11" xfId="57" applyFont="1" applyBorder="1" applyAlignment="1">
      <alignment horizontal="center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11" fillId="0" borderId="0" xfId="60" applyFont="1" applyAlignment="1">
      <alignment/>
      <protection/>
    </xf>
    <xf numFmtId="0" fontId="4" fillId="0" borderId="0" xfId="60" applyFont="1">
      <alignment/>
      <protection/>
    </xf>
    <xf numFmtId="0" fontId="16" fillId="0" borderId="11" xfId="60" applyFont="1" applyBorder="1" applyAlignment="1">
      <alignment horizontal="center" vertical="top" wrapText="1"/>
      <protection/>
    </xf>
    <xf numFmtId="0" fontId="16" fillId="0" borderId="0" xfId="60" applyFont="1">
      <alignment/>
      <protection/>
    </xf>
    <xf numFmtId="0" fontId="16" fillId="0" borderId="0" xfId="60" applyFont="1" applyBorder="1">
      <alignment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2" fillId="0" borderId="0" xfId="60" applyFont="1">
      <alignment/>
      <protection/>
    </xf>
    <xf numFmtId="0" fontId="16" fillId="0" borderId="11" xfId="60" applyFont="1" applyBorder="1" applyAlignment="1">
      <alignment horizontal="center"/>
      <protection/>
    </xf>
    <xf numFmtId="0" fontId="2" fillId="0" borderId="11" xfId="60" applyFont="1" applyBorder="1">
      <alignment/>
      <protection/>
    </xf>
    <xf numFmtId="0" fontId="2" fillId="0" borderId="11" xfId="60" applyFont="1" applyBorder="1" applyAlignment="1">
      <alignment horizontal="center"/>
      <protection/>
    </xf>
    <xf numFmtId="0" fontId="2" fillId="0" borderId="11" xfId="60" applyFont="1" applyBorder="1" applyAlignment="1">
      <alignment horizontal="left"/>
      <protection/>
    </xf>
    <xf numFmtId="0" fontId="0" fillId="0" borderId="11" xfId="60" applyBorder="1">
      <alignment/>
      <protection/>
    </xf>
    <xf numFmtId="0" fontId="2" fillId="0" borderId="11" xfId="60" applyFont="1" applyBorder="1" applyAlignment="1">
      <alignment horizontal="left" wrapText="1"/>
      <protection/>
    </xf>
    <xf numFmtId="0" fontId="0" fillId="0" borderId="11" xfId="60" applyBorder="1" applyAlignment="1" quotePrefix="1">
      <alignment horizontal="center"/>
      <protection/>
    </xf>
    <xf numFmtId="0" fontId="0" fillId="0" borderId="11" xfId="60" applyBorder="1" applyAlignment="1" quotePrefix="1">
      <alignment horizontal="left"/>
      <protection/>
    </xf>
    <xf numFmtId="0" fontId="0" fillId="0" borderId="0" xfId="60" applyFill="1" applyBorder="1" applyAlignment="1">
      <alignment horizontal="left"/>
      <protection/>
    </xf>
    <xf numFmtId="0" fontId="0" fillId="0" borderId="0" xfId="60" applyAlignment="1">
      <alignment horizontal="left"/>
      <protection/>
    </xf>
    <xf numFmtId="0" fontId="6" fillId="0" borderId="0" xfId="60" applyFont="1">
      <alignment/>
      <protection/>
    </xf>
    <xf numFmtId="0" fontId="0" fillId="0" borderId="0" xfId="61">
      <alignment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top" wrapText="1"/>
      <protection/>
    </xf>
    <xf numFmtId="0" fontId="12" fillId="0" borderId="11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11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10" xfId="0" applyFont="1" applyBorder="1" applyAlignment="1">
      <alignment vertical="top" wrapText="1"/>
    </xf>
    <xf numFmtId="0" fontId="31" fillId="33" borderId="10" xfId="0" applyFont="1" applyFill="1" applyBorder="1" applyAlignment="1">
      <alignment vertical="center" wrapText="1"/>
    </xf>
    <xf numFmtId="0" fontId="32" fillId="0" borderId="11" xfId="0" applyFont="1" applyBorder="1" applyAlignment="1" quotePrefix="1">
      <alignment horizontal="center" vertical="top" wrapText="1"/>
    </xf>
    <xf numFmtId="0" fontId="0" fillId="33" borderId="11" xfId="0" applyFill="1" applyBorder="1" applyAlignment="1">
      <alignment/>
    </xf>
    <xf numFmtId="0" fontId="117" fillId="0" borderId="0" xfId="0" applyFont="1" applyAlignment="1">
      <alignment/>
    </xf>
    <xf numFmtId="0" fontId="2" fillId="0" borderId="0" xfId="57" applyFont="1">
      <alignment/>
      <protection/>
    </xf>
    <xf numFmtId="0" fontId="2" fillId="0" borderId="0" xfId="57" applyFont="1" applyAlignment="1">
      <alignment horizontal="center" vertical="top" wrapText="1"/>
      <protection/>
    </xf>
    <xf numFmtId="0" fontId="2" fillId="0" borderId="0" xfId="57" applyFont="1" applyAlignment="1">
      <alignment horizontal="center"/>
      <protection/>
    </xf>
    <xf numFmtId="0" fontId="16" fillId="0" borderId="0" xfId="57" applyFont="1" applyAlignment="1">
      <alignment horizontal="left"/>
      <protection/>
    </xf>
    <xf numFmtId="0" fontId="6" fillId="0" borderId="0" xfId="57" applyFont="1">
      <alignment/>
      <protection/>
    </xf>
    <xf numFmtId="0" fontId="2" fillId="0" borderId="0" xfId="57" applyFont="1" applyAlignment="1">
      <alignment/>
      <protection/>
    </xf>
    <xf numFmtId="0" fontId="2" fillId="0" borderId="16" xfId="57" applyFont="1" applyBorder="1" applyAlignment="1">
      <alignment/>
      <protection/>
    </xf>
    <xf numFmtId="0" fontId="2" fillId="0" borderId="0" xfId="57" applyFont="1" applyBorder="1" applyAlignme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center" vertical="top" wrapText="1"/>
      <protection/>
    </xf>
    <xf numFmtId="0" fontId="14" fillId="0" borderId="0" xfId="57" applyFont="1" applyBorder="1" applyAlignment="1">
      <alignment horizontal="left"/>
      <protection/>
    </xf>
    <xf numFmtId="0" fontId="32" fillId="0" borderId="11" xfId="0" applyFont="1" applyBorder="1" applyAlignment="1">
      <alignment horizontal="center" vertical="top" wrapText="1"/>
    </xf>
    <xf numFmtId="0" fontId="2" fillId="0" borderId="11" xfId="57" applyFont="1" applyBorder="1" applyAlignment="1">
      <alignment/>
      <protection/>
    </xf>
    <xf numFmtId="0" fontId="2" fillId="0" borderId="11" xfId="57" applyFont="1" applyBorder="1" applyAlignment="1">
      <alignment vertical="top" wrapText="1"/>
      <protection/>
    </xf>
    <xf numFmtId="0" fontId="2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14" fillId="0" borderId="0" xfId="57" applyFont="1" applyBorder="1" applyAlignment="1">
      <alignment wrapText="1"/>
      <protection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16" fillId="33" borderId="12" xfId="57" applyFont="1" applyFill="1" applyBorder="1" applyAlignment="1" quotePrefix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center" vertical="center"/>
      <protection/>
    </xf>
    <xf numFmtId="0" fontId="2" fillId="0" borderId="11" xfId="57" applyFont="1" applyBorder="1" applyAlignment="1">
      <alignment horizontal="left" vertical="center"/>
      <protection/>
    </xf>
    <xf numFmtId="0" fontId="2" fillId="0" borderId="11" xfId="57" applyFont="1" applyBorder="1" applyAlignment="1">
      <alignment horizontal="left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11" xfId="0" applyFont="1" applyBorder="1" applyAlignment="1">
      <alignment horizontal="center" vertical="top" wrapText="1"/>
    </xf>
    <xf numFmtId="0" fontId="114" fillId="0" borderId="11" xfId="0" applyFont="1" applyBorder="1" applyAlignment="1">
      <alignment horizontal="center" vertical="top" wrapText="1"/>
    </xf>
    <xf numFmtId="0" fontId="118" fillId="0" borderId="0" xfId="0" applyFont="1" applyBorder="1" applyAlignment="1">
      <alignment vertical="top"/>
    </xf>
    <xf numFmtId="0" fontId="119" fillId="0" borderId="11" xfId="0" applyFont="1" applyBorder="1" applyAlignment="1">
      <alignment vertical="top" wrapText="1"/>
    </xf>
    <xf numFmtId="0" fontId="116" fillId="0" borderId="11" xfId="0" applyFont="1" applyBorder="1" applyAlignment="1">
      <alignment horizontal="center"/>
    </xf>
    <xf numFmtId="0" fontId="12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1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center"/>
    </xf>
    <xf numFmtId="0" fontId="123" fillId="0" borderId="11" xfId="0" applyFont="1" applyBorder="1" applyAlignment="1">
      <alignment vertical="top" wrapText="1"/>
    </xf>
    <xf numFmtId="0" fontId="123" fillId="0" borderId="11" xfId="0" applyFont="1" applyBorder="1" applyAlignment="1">
      <alignment horizontal="center" vertical="top" wrapText="1"/>
    </xf>
    <xf numFmtId="0" fontId="114" fillId="0" borderId="0" xfId="0" applyFont="1" applyAlignment="1">
      <alignment/>
    </xf>
    <xf numFmtId="0" fontId="124" fillId="0" borderId="11" xfId="0" applyFont="1" applyBorder="1" applyAlignment="1">
      <alignment vertical="center" wrapText="1"/>
    </xf>
    <xf numFmtId="0" fontId="124" fillId="0" borderId="11" xfId="0" applyFont="1" applyBorder="1" applyAlignment="1">
      <alignment horizontal="left" vertical="center" wrapText="1" indent="2"/>
    </xf>
    <xf numFmtId="0" fontId="124" fillId="0" borderId="0" xfId="0" applyFont="1" applyBorder="1" applyAlignment="1">
      <alignment horizontal="left" vertical="center" wrapText="1" indent="2"/>
    </xf>
    <xf numFmtId="0" fontId="124" fillId="0" borderId="0" xfId="0" applyFont="1" applyBorder="1" applyAlignment="1">
      <alignment vertical="center" wrapText="1"/>
    </xf>
    <xf numFmtId="0" fontId="114" fillId="0" borderId="11" xfId="0" applyFont="1" applyBorder="1" applyAlignment="1">
      <alignment vertical="top" wrapText="1"/>
    </xf>
    <xf numFmtId="0" fontId="114" fillId="0" borderId="14" xfId="0" applyFont="1" applyBorder="1" applyAlignment="1">
      <alignment horizontal="center" vertical="top" wrapText="1"/>
    </xf>
    <xf numFmtId="0" fontId="124" fillId="0" borderId="14" xfId="0" applyFont="1" applyBorder="1" applyAlignment="1">
      <alignment vertical="center" wrapText="1"/>
    </xf>
    <xf numFmtId="0" fontId="114" fillId="0" borderId="11" xfId="0" applyFont="1" applyBorder="1" applyAlignment="1">
      <alignment/>
    </xf>
    <xf numFmtId="0" fontId="124" fillId="0" borderId="11" xfId="0" applyFont="1" applyBorder="1" applyAlignment="1">
      <alignment horizontal="center" vertical="center" wrapText="1"/>
    </xf>
    <xf numFmtId="0" fontId="5" fillId="0" borderId="0" xfId="57" applyFont="1" applyAlignment="1">
      <alignment/>
      <protection/>
    </xf>
    <xf numFmtId="0" fontId="28" fillId="0" borderId="0" xfId="0" applyFont="1" applyAlignment="1">
      <alignment horizontal="right"/>
    </xf>
    <xf numFmtId="0" fontId="2" fillId="0" borderId="14" xfId="0" applyFont="1" applyBorder="1" applyAlignment="1">
      <alignment vertical="top" wrapText="1"/>
    </xf>
    <xf numFmtId="0" fontId="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19" fillId="0" borderId="12" xfId="0" applyFont="1" applyBorder="1" applyAlignment="1">
      <alignment horizontal="center" vertical="top" wrapText="1"/>
    </xf>
    <xf numFmtId="0" fontId="119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center"/>
    </xf>
    <xf numFmtId="0" fontId="0" fillId="33" borderId="0" xfId="57" applyFont="1" applyFill="1">
      <alignment/>
      <protection/>
    </xf>
    <xf numFmtId="0" fontId="5" fillId="33" borderId="0" xfId="57" applyFont="1" applyFill="1" applyAlignment="1">
      <alignment/>
      <protection/>
    </xf>
    <xf numFmtId="0" fontId="16" fillId="33" borderId="11" xfId="57" applyFont="1" applyFill="1" applyBorder="1" applyAlignment="1">
      <alignment horizontal="center"/>
      <protection/>
    </xf>
    <xf numFmtId="0" fontId="5" fillId="33" borderId="11" xfId="57" applyFont="1" applyFill="1" applyBorder="1" applyAlignment="1">
      <alignment horizontal="center"/>
      <protection/>
    </xf>
    <xf numFmtId="0" fontId="8" fillId="33" borderId="11" xfId="57" applyFont="1" applyFill="1" applyBorder="1" applyAlignment="1">
      <alignment horizontal="left"/>
      <protection/>
    </xf>
    <xf numFmtId="0" fontId="6" fillId="33" borderId="11" xfId="57" applyFont="1" applyFill="1" applyBorder="1" applyAlignment="1">
      <alignment vertical="top" wrapText="1"/>
      <protection/>
    </xf>
    <xf numFmtId="0" fontId="0" fillId="33" borderId="11" xfId="57" applyFont="1" applyFill="1" applyBorder="1">
      <alignment/>
      <protection/>
    </xf>
    <xf numFmtId="0" fontId="0" fillId="33" borderId="11" xfId="57" applyFont="1" applyFill="1" applyBorder="1" applyAlignment="1">
      <alignment/>
      <protection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59" applyFont="1" applyAlignment="1">
      <alignment/>
      <protection/>
    </xf>
    <xf numFmtId="0" fontId="16" fillId="0" borderId="0" xfId="59" applyFont="1" applyAlignment="1">
      <alignment horizontal="right"/>
      <protection/>
    </xf>
    <xf numFmtId="0" fontId="9" fillId="0" borderId="11" xfId="0" applyFont="1" applyBorder="1" applyAlignment="1">
      <alignment horizontal="center"/>
    </xf>
    <xf numFmtId="0" fontId="114" fillId="0" borderId="11" xfId="57" applyFont="1" applyBorder="1">
      <alignment/>
      <protection/>
    </xf>
    <xf numFmtId="0" fontId="114" fillId="0" borderId="0" xfId="57" applyFont="1" applyBorder="1">
      <alignment/>
      <protection/>
    </xf>
    <xf numFmtId="0" fontId="114" fillId="0" borderId="11" xfId="57" applyFont="1" applyBorder="1" applyAlignment="1">
      <alignment horizontal="center"/>
      <protection/>
    </xf>
    <xf numFmtId="0" fontId="30" fillId="33" borderId="0" xfId="0" applyFont="1" applyFill="1" applyAlignment="1">
      <alignment/>
    </xf>
    <xf numFmtId="0" fontId="114" fillId="33" borderId="11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16" fillId="0" borderId="10" xfId="0" applyFont="1" applyBorder="1" applyAlignment="1">
      <alignment horizontal="center"/>
    </xf>
    <xf numFmtId="0" fontId="97" fillId="0" borderId="11" xfId="0" applyFont="1" applyBorder="1" applyAlignment="1">
      <alignment horizontal="center"/>
    </xf>
    <xf numFmtId="0" fontId="30" fillId="0" borderId="11" xfId="0" applyFont="1" applyBorder="1" applyAlignment="1" quotePrefix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right"/>
    </xf>
    <xf numFmtId="0" fontId="2" fillId="33" borderId="11" xfId="57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14" fillId="0" borderId="0" xfId="0" applyFont="1" applyAlignment="1">
      <alignment/>
    </xf>
    <xf numFmtId="0" fontId="88" fillId="0" borderId="11" xfId="0" applyFont="1" applyBorder="1" applyAlignment="1">
      <alignment/>
    </xf>
    <xf numFmtId="0" fontId="114" fillId="0" borderId="11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/>
    </xf>
    <xf numFmtId="0" fontId="31" fillId="33" borderId="10" xfId="0" applyFont="1" applyFill="1" applyBorder="1" applyAlignment="1">
      <alignment horizontal="center" vertical="top" wrapText="1"/>
    </xf>
    <xf numFmtId="0" fontId="2" fillId="0" borderId="0" xfId="58" applyFont="1">
      <alignment/>
      <protection/>
    </xf>
    <xf numFmtId="0" fontId="2" fillId="0" borderId="0" xfId="58" applyFont="1" applyAlignment="1">
      <alignment horizontal="center" vertical="top" wrapText="1"/>
      <protection/>
    </xf>
    <xf numFmtId="0" fontId="2" fillId="0" borderId="0" xfId="58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28" fillId="33" borderId="0" xfId="0" applyFont="1" applyFill="1" applyAlignment="1">
      <alignment horizontal="center"/>
    </xf>
    <xf numFmtId="0" fontId="32" fillId="33" borderId="11" xfId="0" applyFont="1" applyFill="1" applyBorder="1" applyAlignment="1" quotePrefix="1">
      <alignment horizontal="center" vertical="top" wrapText="1"/>
    </xf>
    <xf numFmtId="0" fontId="13" fillId="0" borderId="0" xfId="59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0" fillId="0" borderId="11" xfId="59" applyFont="1" applyBorder="1">
      <alignment/>
      <protection/>
    </xf>
    <xf numFmtId="0" fontId="0" fillId="0" borderId="0" xfId="59" applyFont="1" applyBorder="1">
      <alignment/>
      <protection/>
    </xf>
    <xf numFmtId="0" fontId="0" fillId="0" borderId="11" xfId="59" applyFont="1" applyBorder="1" applyAlignment="1">
      <alignment horizontal="center"/>
      <protection/>
    </xf>
    <xf numFmtId="0" fontId="2" fillId="0" borderId="11" xfId="59" applyFont="1" applyBorder="1">
      <alignment/>
      <protection/>
    </xf>
    <xf numFmtId="0" fontId="2" fillId="0" borderId="0" xfId="59" applyFont="1" applyAlignment="1">
      <alignment horizontal="right" vertical="top" wrapText="1"/>
      <protection/>
    </xf>
    <xf numFmtId="0" fontId="88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125" fillId="0" borderId="11" xfId="0" applyFont="1" applyBorder="1" applyAlignment="1">
      <alignment horizontal="center" vertical="top" wrapText="1"/>
    </xf>
    <xf numFmtId="0" fontId="2" fillId="0" borderId="0" xfId="58" applyFont="1" applyAlignment="1">
      <alignment vertical="top" wrapText="1"/>
      <protection/>
    </xf>
    <xf numFmtId="0" fontId="125" fillId="0" borderId="12" xfId="0" applyFont="1" applyBorder="1" applyAlignment="1">
      <alignment horizontal="center" vertical="top" wrapText="1"/>
    </xf>
    <xf numFmtId="0" fontId="125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14" fontId="12" fillId="0" borderId="11" xfId="61" applyNumberFormat="1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right"/>
    </xf>
    <xf numFmtId="0" fontId="14" fillId="0" borderId="14" xfId="61" applyFont="1" applyBorder="1" applyAlignment="1">
      <alignment horizontal="center" vertical="top" wrapText="1"/>
      <protection/>
    </xf>
    <xf numFmtId="0" fontId="12" fillId="0" borderId="15" xfId="61" applyFont="1" applyBorder="1" applyAlignment="1">
      <alignment horizontal="left" vertical="top" wrapText="1"/>
      <protection/>
    </xf>
    <xf numFmtId="0" fontId="11" fillId="0" borderId="0" xfId="61" applyFont="1">
      <alignment/>
      <protection/>
    </xf>
    <xf numFmtId="2" fontId="11" fillId="0" borderId="0" xfId="61" applyNumberFormat="1" applyFont="1">
      <alignment/>
      <protection/>
    </xf>
    <xf numFmtId="2" fontId="2" fillId="0" borderId="11" xfId="0" applyNumberFormat="1" applyFont="1" applyFill="1" applyBorder="1" applyAlignment="1">
      <alignment horizontal="center" vertical="center"/>
    </xf>
    <xf numFmtId="0" fontId="125" fillId="0" borderId="12" xfId="0" applyFont="1" applyBorder="1" applyAlignment="1">
      <alignment horizontal="center" vertical="top" wrapText="1"/>
    </xf>
    <xf numFmtId="0" fontId="2" fillId="0" borderId="20" xfId="57" applyFont="1" applyBorder="1">
      <alignment/>
      <protection/>
    </xf>
    <xf numFmtId="0" fontId="0" fillId="0" borderId="15" xfId="57" applyFont="1" applyBorder="1">
      <alignment/>
      <protection/>
    </xf>
    <xf numFmtId="0" fontId="32" fillId="0" borderId="10" xfId="0" applyFont="1" applyBorder="1" applyAlignment="1">
      <alignment horizontal="center" vertical="top" wrapText="1"/>
    </xf>
    <xf numFmtId="0" fontId="0" fillId="0" borderId="14" xfId="57" applyFont="1" applyBorder="1">
      <alignment/>
      <protection/>
    </xf>
    <xf numFmtId="0" fontId="0" fillId="0" borderId="19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41" fillId="0" borderId="11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19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2" fontId="2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 horizontal="left" vertical="center"/>
    </xf>
    <xf numFmtId="0" fontId="32" fillId="0" borderId="11" xfId="0" applyFont="1" applyBorder="1" applyAlignment="1" quotePrefix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9" xfId="59" applyFill="1" applyBorder="1">
      <alignment/>
      <protection/>
    </xf>
    <xf numFmtId="0" fontId="11" fillId="0" borderId="0" xfId="0" applyFont="1" applyAlignment="1">
      <alignment horizontal="center"/>
    </xf>
    <xf numFmtId="0" fontId="26" fillId="0" borderId="0" xfId="57" applyFont="1" applyAlignment="1">
      <alignment horizontal="center" wrapText="1"/>
      <protection/>
    </xf>
    <xf numFmtId="0" fontId="0" fillId="0" borderId="11" xfId="0" applyBorder="1" applyAlignment="1">
      <alignment horizontal="right" vertical="center"/>
    </xf>
    <xf numFmtId="0" fontId="0" fillId="0" borderId="11" xfId="0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/>
    </xf>
    <xf numFmtId="0" fontId="42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0" fontId="12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top" wrapText="1"/>
    </xf>
    <xf numFmtId="0" fontId="46" fillId="0" borderId="11" xfId="0" applyFont="1" applyBorder="1" applyAlignment="1" quotePrefix="1">
      <alignment horizontal="right" vertical="top" wrapText="1"/>
    </xf>
    <xf numFmtId="0" fontId="0" fillId="0" borderId="11" xfId="0" applyBorder="1" applyAlignment="1">
      <alignment/>
    </xf>
    <xf numFmtId="0" fontId="32" fillId="0" borderId="11" xfId="0" applyFont="1" applyBorder="1" applyAlignment="1" quotePrefix="1">
      <alignment horizontal="right" vertical="top" wrapText="1"/>
    </xf>
    <xf numFmtId="0" fontId="0" fillId="33" borderId="1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21" xfId="0" applyFill="1" applyBorder="1" applyAlignment="1">
      <alignment/>
    </xf>
    <xf numFmtId="0" fontId="25" fillId="0" borderId="0" xfId="57" applyFont="1" applyAlignment="1">
      <alignment horizontal="center"/>
      <protection/>
    </xf>
    <xf numFmtId="0" fontId="0" fillId="0" borderId="11" xfId="0" applyFill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0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right"/>
    </xf>
    <xf numFmtId="0" fontId="40" fillId="0" borderId="0" xfId="0" applyFont="1" applyAlignment="1">
      <alignment horizontal="left"/>
    </xf>
    <xf numFmtId="0" fontId="40" fillId="0" borderId="12" xfId="0" applyFont="1" applyBorder="1" applyAlignment="1">
      <alignment horizontal="center" vertical="top" wrapText="1"/>
    </xf>
    <xf numFmtId="0" fontId="40" fillId="0" borderId="0" xfId="59" applyFont="1" applyAlignment="1">
      <alignment horizontal="center"/>
      <protection/>
    </xf>
    <xf numFmtId="0" fontId="15" fillId="0" borderId="0" xfId="0" applyFont="1" applyAlignment="1">
      <alignment vertical="top" wrapText="1"/>
    </xf>
    <xf numFmtId="0" fontId="97" fillId="34" borderId="0" xfId="57" applyFill="1">
      <alignment/>
      <protection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  <xf numFmtId="2" fontId="2" fillId="0" borderId="11" xfId="0" applyNumberFormat="1" applyFont="1" applyBorder="1" applyAlignment="1">
      <alignment vertical="top" wrapText="1"/>
    </xf>
    <xf numFmtId="2" fontId="16" fillId="0" borderId="11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left" wrapText="1"/>
    </xf>
    <xf numFmtId="0" fontId="42" fillId="0" borderId="0" xfId="59" applyFont="1">
      <alignment/>
      <protection/>
    </xf>
    <xf numFmtId="0" fontId="44" fillId="0" borderId="0" xfId="59" applyFont="1" applyAlignment="1">
      <alignment horizontal="center"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59" applyFont="1">
      <alignment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0" fillId="0" borderId="11" xfId="59" applyFont="1" applyBorder="1" applyAlignment="1">
      <alignment horizontal="center" vertical="top" wrapText="1"/>
      <protection/>
    </xf>
    <xf numFmtId="0" fontId="40" fillId="0" borderId="11" xfId="0" applyFont="1" applyBorder="1" applyAlignment="1">
      <alignment horizontal="center" vertical="center" wrapText="1"/>
    </xf>
    <xf numFmtId="0" fontId="42" fillId="0" borderId="11" xfId="59" applyFont="1" applyBorder="1" applyAlignment="1">
      <alignment horizontal="center"/>
      <protection/>
    </xf>
    <xf numFmtId="0" fontId="42" fillId="0" borderId="11" xfId="59" applyFont="1" applyBorder="1">
      <alignment/>
      <protection/>
    </xf>
    <xf numFmtId="0" fontId="40" fillId="0" borderId="11" xfId="59" applyFont="1" applyBorder="1" applyAlignment="1">
      <alignment horizontal="center"/>
      <protection/>
    </xf>
    <xf numFmtId="0" fontId="42" fillId="0" borderId="0" xfId="59" applyFont="1" applyFill="1" applyBorder="1" applyAlignment="1">
      <alignment horizontal="left"/>
      <protection/>
    </xf>
    <xf numFmtId="0" fontId="42" fillId="0" borderId="0" xfId="0" applyFont="1" applyAlignment="1">
      <alignment horizontal="left"/>
    </xf>
    <xf numFmtId="0" fontId="40" fillId="0" borderId="19" xfId="59" applyFont="1" applyFill="1" applyBorder="1" applyAlignment="1">
      <alignment horizontal="center" vertical="top" wrapText="1"/>
      <protection/>
    </xf>
    <xf numFmtId="0" fontId="40" fillId="0" borderId="21" xfId="59" applyFont="1" applyFill="1" applyBorder="1" applyAlignment="1">
      <alignment horizontal="center" vertical="top" wrapText="1"/>
      <protection/>
    </xf>
    <xf numFmtId="0" fontId="40" fillId="0" borderId="13" xfId="59" applyFont="1" applyBorder="1" applyAlignment="1">
      <alignment horizontal="center" vertical="top" wrapText="1"/>
      <protection/>
    </xf>
    <xf numFmtId="0" fontId="40" fillId="0" borderId="14" xfId="59" applyFont="1" applyBorder="1" applyAlignment="1">
      <alignment horizontal="center" vertical="top" wrapText="1"/>
      <protection/>
    </xf>
    <xf numFmtId="0" fontId="42" fillId="0" borderId="14" xfId="59" applyFont="1" applyBorder="1">
      <alignment/>
      <protection/>
    </xf>
    <xf numFmtId="0" fontId="42" fillId="0" borderId="13" xfId="59" applyFont="1" applyBorder="1">
      <alignment/>
      <protection/>
    </xf>
    <xf numFmtId="0" fontId="42" fillId="0" borderId="0" xfId="59" applyFont="1" applyAlignment="1">
      <alignment horizontal="left"/>
      <protection/>
    </xf>
    <xf numFmtId="0" fontId="40" fillId="0" borderId="0" xfId="59" applyFont="1" applyAlignment="1">
      <alignment vertical="top" wrapText="1"/>
      <protection/>
    </xf>
    <xf numFmtId="0" fontId="40" fillId="0" borderId="17" xfId="0" applyFont="1" applyBorder="1" applyAlignment="1">
      <alignment horizontal="center" vertical="top" wrapText="1"/>
    </xf>
    <xf numFmtId="0" fontId="42" fillId="33" borderId="0" xfId="0" applyFont="1" applyFill="1" applyAlignment="1">
      <alignment/>
    </xf>
    <xf numFmtId="0" fontId="40" fillId="33" borderId="0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left"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2" fontId="0" fillId="33" borderId="11" xfId="0" applyNumberFormat="1" applyFont="1" applyFill="1" applyBorder="1" applyAlignment="1">
      <alignment/>
    </xf>
    <xf numFmtId="0" fontId="47" fillId="0" borderId="0" xfId="57" applyFont="1">
      <alignment/>
      <protection/>
    </xf>
    <xf numFmtId="0" fontId="49" fillId="0" borderId="11" xfId="57" applyFont="1" applyBorder="1" applyAlignment="1">
      <alignment horizontal="center" vertical="top" wrapText="1"/>
      <protection/>
    </xf>
    <xf numFmtId="0" fontId="50" fillId="0" borderId="10" xfId="57" applyFont="1" applyBorder="1" applyAlignment="1">
      <alignment horizontal="center"/>
      <protection/>
    </xf>
    <xf numFmtId="0" fontId="50" fillId="0" borderId="19" xfId="57" applyFont="1" applyBorder="1" applyAlignment="1">
      <alignment horizontal="center" wrapText="1"/>
      <protection/>
    </xf>
    <xf numFmtId="0" fontId="47" fillId="0" borderId="11" xfId="57" applyFont="1" applyBorder="1" applyAlignment="1">
      <alignment horizontal="center"/>
      <protection/>
    </xf>
    <xf numFmtId="0" fontId="47" fillId="0" borderId="11" xfId="57" applyFont="1" applyBorder="1" applyAlignment="1">
      <alignment wrapText="1"/>
      <protection/>
    </xf>
    <xf numFmtId="0" fontId="47" fillId="0" borderId="11" xfId="57" applyFont="1" applyBorder="1">
      <alignment/>
      <protection/>
    </xf>
    <xf numFmtId="0" fontId="47" fillId="0" borderId="11" xfId="57" applyFont="1" applyBorder="1" applyAlignment="1">
      <alignment/>
      <protection/>
    </xf>
    <xf numFmtId="0" fontId="47" fillId="0" borderId="12" xfId="57" applyFont="1" applyBorder="1" applyAlignment="1">
      <alignment horizontal="center"/>
      <protection/>
    </xf>
    <xf numFmtId="0" fontId="42" fillId="0" borderId="12" xfId="0" applyFont="1" applyBorder="1" applyAlignment="1">
      <alignment horizontal="left"/>
    </xf>
    <xf numFmtId="0" fontId="47" fillId="0" borderId="12" xfId="57" applyFont="1" applyBorder="1" applyAlignment="1">
      <alignment wrapText="1"/>
      <protection/>
    </xf>
    <xf numFmtId="0" fontId="47" fillId="0" borderId="12" xfId="57" applyFont="1" applyBorder="1">
      <alignment/>
      <protection/>
    </xf>
    <xf numFmtId="0" fontId="47" fillId="0" borderId="12" xfId="57" applyFont="1" applyBorder="1" applyAlignment="1">
      <alignment/>
      <protection/>
    </xf>
    <xf numFmtId="0" fontId="49" fillId="0" borderId="11" xfId="57" applyFont="1" applyBorder="1">
      <alignment/>
      <protection/>
    </xf>
    <xf numFmtId="0" fontId="40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right"/>
    </xf>
    <xf numFmtId="2" fontId="42" fillId="0" borderId="11" xfId="0" applyNumberFormat="1" applyFont="1" applyBorder="1" applyAlignment="1">
      <alignment horizontal="right"/>
    </xf>
    <xf numFmtId="0" fontId="42" fillId="0" borderId="11" xfId="0" applyFont="1" applyBorder="1" applyAlignment="1">
      <alignment/>
    </xf>
    <xf numFmtId="2" fontId="42" fillId="0" borderId="11" xfId="0" applyNumberFormat="1" applyFont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Border="1" applyAlignment="1">
      <alignment/>
    </xf>
    <xf numFmtId="2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right"/>
    </xf>
    <xf numFmtId="2" fontId="42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/>
    </xf>
    <xf numFmtId="2" fontId="4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40" fillId="0" borderId="11" xfId="0" applyNumberFormat="1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1" fontId="51" fillId="0" borderId="11" xfId="0" applyNumberFormat="1" applyFont="1" applyBorder="1" applyAlignment="1">
      <alignment horizontal="center" vertical="top" wrapText="1"/>
    </xf>
    <xf numFmtId="1" fontId="42" fillId="0" borderId="11" xfId="0" applyNumberFormat="1" applyFont="1" applyBorder="1" applyAlignment="1">
      <alignment/>
    </xf>
    <xf numFmtId="0" fontId="40" fillId="0" borderId="14" xfId="0" applyFont="1" applyBorder="1" applyAlignment="1">
      <alignment horizontal="center" vertical="center" wrapText="1"/>
    </xf>
    <xf numFmtId="1" fontId="40" fillId="0" borderId="15" xfId="0" applyNumberFormat="1" applyFont="1" applyBorder="1" applyAlignment="1">
      <alignment horizontal="center" vertical="center" wrapText="1"/>
    </xf>
    <xf numFmtId="1" fontId="40" fillId="0" borderId="11" xfId="0" applyNumberFormat="1" applyFont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2" fillId="0" borderId="14" xfId="0" applyFont="1" applyBorder="1" applyAlignment="1">
      <alignment/>
    </xf>
    <xf numFmtId="0" fontId="42" fillId="0" borderId="0" xfId="0" applyFont="1" applyBorder="1" applyAlignment="1" quotePrefix="1">
      <alignment horizontal="center"/>
    </xf>
    <xf numFmtId="1" fontId="42" fillId="0" borderId="0" xfId="0" applyNumberFormat="1" applyFont="1" applyBorder="1" applyAlignment="1">
      <alignment/>
    </xf>
    <xf numFmtId="1" fontId="40" fillId="0" borderId="0" xfId="0" applyNumberFormat="1" applyFont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2" fontId="0" fillId="0" borderId="11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vertical="top" wrapText="1"/>
    </xf>
    <xf numFmtId="2" fontId="42" fillId="0" borderId="0" xfId="0" applyNumberFormat="1" applyFont="1" applyAlignment="1">
      <alignment/>
    </xf>
    <xf numFmtId="0" fontId="0" fillId="33" borderId="11" xfId="0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1" fillId="0" borderId="11" xfId="57" applyFont="1" applyBorder="1" applyAlignment="1">
      <alignment horizontal="right" vertical="top" wrapText="1"/>
      <protection/>
    </xf>
    <xf numFmtId="0" fontId="2" fillId="0" borderId="0" xfId="61" applyFont="1" applyAlignment="1">
      <alignment/>
      <protection/>
    </xf>
    <xf numFmtId="2" fontId="16" fillId="0" borderId="16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22" fillId="0" borderId="0" xfId="0" applyFont="1" applyAlignment="1">
      <alignment vertical="center"/>
    </xf>
    <xf numFmtId="0" fontId="122" fillId="0" borderId="0" xfId="0" applyFont="1" applyBorder="1" applyAlignment="1">
      <alignment vertical="center"/>
    </xf>
    <xf numFmtId="0" fontId="25" fillId="0" borderId="0" xfId="57" applyFont="1" applyAlignment="1">
      <alignment/>
      <protection/>
    </xf>
    <xf numFmtId="0" fontId="31" fillId="0" borderId="10" xfId="0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12" xfId="57" applyFont="1" applyBorder="1" applyAlignment="1">
      <alignment horizontal="center" vertic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0" fontId="123" fillId="0" borderId="11" xfId="57" applyFont="1" applyBorder="1" applyAlignment="1">
      <alignment vertical="center"/>
      <protection/>
    </xf>
    <xf numFmtId="2" fontId="0" fillId="0" borderId="11" xfId="60" applyNumberFormat="1" applyBorder="1">
      <alignment/>
      <protection/>
    </xf>
    <xf numFmtId="17" fontId="124" fillId="0" borderId="14" xfId="0" applyNumberFormat="1" applyFont="1" applyBorder="1" applyAlignment="1">
      <alignment vertical="center" wrapText="1"/>
    </xf>
    <xf numFmtId="2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97" fillId="0" borderId="0" xfId="57" applyAlignment="1">
      <alignment horizont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/>
    </xf>
    <xf numFmtId="0" fontId="97" fillId="33" borderId="0" xfId="57" applyFill="1">
      <alignment/>
      <protection/>
    </xf>
    <xf numFmtId="0" fontId="26" fillId="33" borderId="0" xfId="57" applyFont="1" applyFill="1" applyAlignment="1">
      <alignment horizontal="center"/>
      <protection/>
    </xf>
    <xf numFmtId="0" fontId="0" fillId="33" borderId="14" xfId="0" applyFill="1" applyBorder="1" applyAlignment="1">
      <alignment/>
    </xf>
    <xf numFmtId="0" fontId="114" fillId="0" borderId="11" xfId="57" applyFont="1" applyBorder="1" applyAlignment="1">
      <alignment vertical="center"/>
      <protection/>
    </xf>
    <xf numFmtId="0" fontId="114" fillId="0" borderId="0" xfId="57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11" xfId="57" applyNumberFormat="1" applyFont="1" applyBorder="1" applyAlignment="1">
      <alignment/>
      <protection/>
    </xf>
    <xf numFmtId="1" fontId="2" fillId="0" borderId="11" xfId="0" applyNumberFormat="1" applyFont="1" applyBorder="1" applyAlignment="1">
      <alignment horizontal="center" vertical="top" wrapText="1"/>
    </xf>
    <xf numFmtId="9" fontId="0" fillId="0" borderId="14" xfId="64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2" fontId="2" fillId="33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right"/>
    </xf>
    <xf numFmtId="2" fontId="42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30" fillId="0" borderId="11" xfId="0" applyFont="1" applyBorder="1" applyAlignment="1" quotePrefix="1">
      <alignment horizontal="right" vertical="top" wrapText="1"/>
    </xf>
    <xf numFmtId="0" fontId="30" fillId="33" borderId="11" xfId="0" applyFont="1" applyFill="1" applyBorder="1" applyAlignment="1" quotePrefix="1">
      <alignment horizontal="right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11" xfId="0" applyFont="1" applyBorder="1" applyAlignment="1" quotePrefix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" fillId="0" borderId="19" xfId="59" applyFont="1" applyFill="1" applyBorder="1" applyAlignment="1">
      <alignment horizontal="center" vertical="top" wrapText="1"/>
      <protection/>
    </xf>
    <xf numFmtId="0" fontId="2" fillId="0" borderId="21" xfId="59" applyFont="1" applyFill="1" applyBorder="1" applyAlignment="1">
      <alignment horizontal="center" vertical="top" wrapText="1"/>
      <protection/>
    </xf>
    <xf numFmtId="0" fontId="2" fillId="0" borderId="13" xfId="59" applyFont="1" applyBorder="1" applyAlignment="1">
      <alignment horizontal="center" vertical="top" wrapText="1"/>
      <protection/>
    </xf>
    <xf numFmtId="0" fontId="52" fillId="0" borderId="11" xfId="57" applyFont="1" applyBorder="1" applyAlignment="1">
      <alignment horizontal="right" vertical="center" wrapText="1"/>
      <protection/>
    </xf>
    <xf numFmtId="0" fontId="52" fillId="0" borderId="11" xfId="57" applyFont="1" applyBorder="1" applyAlignment="1">
      <alignment horizontal="center" vertical="center" wrapText="1"/>
      <protection/>
    </xf>
    <xf numFmtId="0" fontId="97" fillId="0" borderId="11" xfId="57" applyFont="1" applyBorder="1" applyAlignment="1">
      <alignment vertical="center"/>
      <protection/>
    </xf>
    <xf numFmtId="0" fontId="97" fillId="0" borderId="11" xfId="57" applyFont="1" applyBorder="1" applyAlignment="1">
      <alignment horizontal="right" vertical="center"/>
      <protection/>
    </xf>
    <xf numFmtId="0" fontId="52" fillId="33" borderId="11" xfId="57" applyFont="1" applyFill="1" applyBorder="1" applyAlignment="1">
      <alignment horizontal="right" vertical="center" wrapText="1"/>
      <protection/>
    </xf>
    <xf numFmtId="0" fontId="97" fillId="33" borderId="11" xfId="57" applyFont="1" applyFill="1" applyBorder="1" applyAlignment="1">
      <alignment vertical="center"/>
      <protection/>
    </xf>
    <xf numFmtId="0" fontId="52" fillId="33" borderId="11" xfId="57" applyFont="1" applyFill="1" applyBorder="1" applyAlignment="1">
      <alignment horizontal="center" vertical="center" wrapText="1"/>
      <protection/>
    </xf>
    <xf numFmtId="0" fontId="97" fillId="0" borderId="11" xfId="57" applyFont="1" applyBorder="1" applyAlignment="1">
      <alignment horizontal="center" vertical="center"/>
      <protection/>
    </xf>
    <xf numFmtId="0" fontId="52" fillId="0" borderId="11" xfId="57" applyFont="1" applyBorder="1" applyAlignment="1">
      <alignment vertical="center" wrapText="1"/>
      <protection/>
    </xf>
    <xf numFmtId="0" fontId="52" fillId="0" borderId="11" xfId="57" applyFont="1" applyBorder="1" applyAlignment="1">
      <alignment horizontal="right" wrapText="1"/>
      <protection/>
    </xf>
    <xf numFmtId="0" fontId="97" fillId="33" borderId="11" xfId="57" applyFont="1" applyFill="1" applyBorder="1" applyAlignment="1">
      <alignment horizontal="right" vertical="center"/>
      <protection/>
    </xf>
    <xf numFmtId="0" fontId="18" fillId="0" borderId="11" xfId="57" applyFont="1" applyBorder="1" applyAlignment="1">
      <alignment horizontal="right" vertical="top" wrapText="1"/>
      <protection/>
    </xf>
    <xf numFmtId="0" fontId="97" fillId="0" borderId="11" xfId="57" applyFont="1" applyBorder="1">
      <alignment/>
      <protection/>
    </xf>
    <xf numFmtId="0" fontId="0" fillId="0" borderId="0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2" fontId="42" fillId="33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1" xfId="57" applyFont="1" applyBorder="1" applyAlignment="1">
      <alignment vertical="top" wrapText="1"/>
      <protection/>
    </xf>
    <xf numFmtId="0" fontId="0" fillId="33" borderId="11" xfId="0" applyFill="1" applyBorder="1" applyAlignment="1">
      <alignment horizontal="left"/>
    </xf>
    <xf numFmtId="0" fontId="2" fillId="33" borderId="0" xfId="57" applyFont="1" applyFill="1">
      <alignment/>
      <protection/>
    </xf>
    <xf numFmtId="0" fontId="16" fillId="33" borderId="0" xfId="57" applyFont="1" applyFill="1" applyAlignment="1">
      <alignment horizontal="left"/>
      <protection/>
    </xf>
    <xf numFmtId="0" fontId="6" fillId="33" borderId="0" xfId="57" applyFont="1" applyFill="1">
      <alignment/>
      <protection/>
    </xf>
    <xf numFmtId="0" fontId="2" fillId="33" borderId="0" xfId="57" applyFont="1" applyFill="1" applyBorder="1" applyAlignment="1">
      <alignment/>
      <protection/>
    </xf>
    <xf numFmtId="0" fontId="2" fillId="33" borderId="0" xfId="57" applyFont="1" applyFill="1" applyBorder="1">
      <alignment/>
      <protection/>
    </xf>
    <xf numFmtId="0" fontId="32" fillId="33" borderId="11" xfId="0" applyFont="1" applyFill="1" applyBorder="1" applyAlignment="1">
      <alignment horizontal="center" vertical="top" wrapText="1"/>
    </xf>
    <xf numFmtId="0" fontId="0" fillId="33" borderId="11" xfId="57" applyFont="1" applyFill="1" applyBorder="1" applyAlignment="1">
      <alignment horizontal="center"/>
      <protection/>
    </xf>
    <xf numFmtId="0" fontId="2" fillId="33" borderId="11" xfId="57" applyFont="1" applyFill="1" applyBorder="1" applyAlignment="1">
      <alignment/>
      <protection/>
    </xf>
    <xf numFmtId="1" fontId="2" fillId="33" borderId="11" xfId="57" applyNumberFormat="1" applyFont="1" applyFill="1" applyBorder="1" applyAlignment="1">
      <alignment/>
      <protection/>
    </xf>
    <xf numFmtId="0" fontId="2" fillId="33" borderId="11" xfId="57" applyFont="1" applyFill="1" applyBorder="1">
      <alignment/>
      <protection/>
    </xf>
    <xf numFmtId="1" fontId="2" fillId="33" borderId="11" xfId="57" applyNumberFormat="1" applyFont="1" applyFill="1" applyBorder="1">
      <alignment/>
      <protection/>
    </xf>
    <xf numFmtId="0" fontId="2" fillId="33" borderId="11" xfId="57" applyFont="1" applyFill="1" applyBorder="1" applyAlignment="1">
      <alignment vertical="top" wrapText="1"/>
      <protection/>
    </xf>
    <xf numFmtId="1" fontId="2" fillId="33" borderId="11" xfId="57" applyNumberFormat="1" applyFont="1" applyFill="1" applyBorder="1" applyAlignment="1">
      <alignment vertical="top" wrapText="1"/>
      <protection/>
    </xf>
    <xf numFmtId="0" fontId="97" fillId="0" borderId="14" xfId="57" applyBorder="1">
      <alignment/>
      <protection/>
    </xf>
    <xf numFmtId="0" fontId="97" fillId="0" borderId="15" xfId="57" applyBorder="1">
      <alignment/>
      <protection/>
    </xf>
    <xf numFmtId="0" fontId="114" fillId="0" borderId="14" xfId="57" applyFont="1" applyBorder="1">
      <alignment/>
      <protection/>
    </xf>
    <xf numFmtId="0" fontId="114" fillId="0" borderId="15" xfId="57" applyFont="1" applyBorder="1">
      <alignment/>
      <protection/>
    </xf>
    <xf numFmtId="0" fontId="2" fillId="33" borderId="11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/>
    </xf>
    <xf numFmtId="0" fontId="2" fillId="33" borderId="0" xfId="57" applyFont="1" applyFill="1" applyAlignment="1">
      <alignment vertical="top" wrapText="1"/>
      <protection/>
    </xf>
    <xf numFmtId="0" fontId="14" fillId="0" borderId="0" xfId="0" applyFont="1" applyAlignment="1">
      <alignment vertical="top" wrapText="1"/>
    </xf>
    <xf numFmtId="0" fontId="4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0" borderId="0" xfId="60" applyFont="1" applyAlignment="1">
      <alignment vertical="top" wrapText="1"/>
      <protection/>
    </xf>
    <xf numFmtId="0" fontId="2" fillId="0" borderId="0" xfId="59" applyFont="1" applyAlignment="1">
      <alignment vertical="top" wrapText="1"/>
      <protection/>
    </xf>
    <xf numFmtId="0" fontId="55" fillId="33" borderId="11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60" applyAlignment="1">
      <alignment/>
      <protection/>
    </xf>
    <xf numFmtId="0" fontId="0" fillId="0" borderId="0" xfId="0" applyFont="1" applyFill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 horizontal="center"/>
    </xf>
    <xf numFmtId="0" fontId="127" fillId="0" borderId="0" xfId="0" applyFont="1" applyAlignment="1">
      <alignment horizontal="right"/>
    </xf>
    <xf numFmtId="0" fontId="128" fillId="0" borderId="0" xfId="0" applyFont="1" applyAlignment="1">
      <alignment/>
    </xf>
    <xf numFmtId="0" fontId="129" fillId="0" borderId="0" xfId="0" applyFont="1" applyAlignment="1">
      <alignment horizontal="center"/>
    </xf>
    <xf numFmtId="0" fontId="126" fillId="0" borderId="0" xfId="0" applyFont="1" applyAlignment="1">
      <alignment horizontal="left"/>
    </xf>
    <xf numFmtId="0" fontId="126" fillId="0" borderId="0" xfId="0" applyFont="1" applyAlignment="1">
      <alignment/>
    </xf>
    <xf numFmtId="0" fontId="126" fillId="0" borderId="0" xfId="0" applyFont="1" applyAlignment="1">
      <alignment/>
    </xf>
    <xf numFmtId="0" fontId="125" fillId="0" borderId="0" xfId="0" applyFont="1" applyAlignment="1">
      <alignment/>
    </xf>
    <xf numFmtId="0" fontId="126" fillId="0" borderId="0" xfId="0" applyFont="1" applyAlignment="1">
      <alignment horizontal="right" vertical="top" wrapText="1"/>
    </xf>
    <xf numFmtId="0" fontId="125" fillId="0" borderId="11" xfId="0" applyFont="1" applyBorder="1" applyAlignment="1">
      <alignment/>
    </xf>
    <xf numFmtId="0" fontId="125" fillId="0" borderId="14" xfId="0" applyFont="1" applyBorder="1" applyAlignment="1">
      <alignment horizontal="center"/>
    </xf>
    <xf numFmtId="0" fontId="125" fillId="0" borderId="15" xfId="0" applyFont="1" applyBorder="1" applyAlignment="1">
      <alignment horizontal="center"/>
    </xf>
    <xf numFmtId="0" fontId="125" fillId="0" borderId="11" xfId="0" applyFont="1" applyBorder="1" applyAlignment="1">
      <alignment/>
    </xf>
    <xf numFmtId="0" fontId="126" fillId="0" borderId="12" xfId="0" applyFont="1" applyBorder="1" applyAlignment="1">
      <alignment vertical="top"/>
    </xf>
    <xf numFmtId="0" fontId="126" fillId="0" borderId="11" xfId="0" applyFont="1" applyBorder="1" applyAlignment="1">
      <alignment horizontal="center" vertical="center"/>
    </xf>
    <xf numFmtId="0" fontId="126" fillId="0" borderId="11" xfId="0" applyFont="1" applyBorder="1" applyAlignment="1">
      <alignment horizontal="center" vertical="top" wrapText="1"/>
    </xf>
    <xf numFmtId="0" fontId="126" fillId="0" borderId="10" xfId="0" applyFont="1" applyBorder="1" applyAlignment="1">
      <alignment vertical="top" wrapText="1"/>
    </xf>
    <xf numFmtId="0" fontId="130" fillId="0" borderId="11" xfId="0" applyFont="1" applyBorder="1" applyAlignment="1">
      <alignment horizontal="center"/>
    </xf>
    <xf numFmtId="0" fontId="130" fillId="0" borderId="11" xfId="59" applyFont="1" applyBorder="1" applyAlignment="1">
      <alignment horizontal="center" wrapText="1"/>
      <protection/>
    </xf>
    <xf numFmtId="0" fontId="130" fillId="0" borderId="0" xfId="0" applyFont="1" applyAlignment="1">
      <alignment horizontal="center" vertical="top" wrapText="1"/>
    </xf>
    <xf numFmtId="0" fontId="130" fillId="0" borderId="0" xfId="0" applyFont="1" applyAlignment="1">
      <alignment/>
    </xf>
    <xf numFmtId="0" fontId="125" fillId="0" borderId="11" xfId="0" applyFont="1" applyBorder="1" applyAlignment="1">
      <alignment horizontal="center"/>
    </xf>
    <xf numFmtId="0" fontId="126" fillId="0" borderId="11" xfId="59" applyFont="1" applyBorder="1" applyAlignment="1">
      <alignment horizontal="left" vertical="center" wrapText="1"/>
      <protection/>
    </xf>
    <xf numFmtId="0" fontId="125" fillId="0" borderId="11" xfId="0" applyFont="1" applyBorder="1" applyAlignment="1">
      <alignment horizontal="center"/>
    </xf>
    <xf numFmtId="0" fontId="126" fillId="0" borderId="0" xfId="0" applyFont="1" applyAlignment="1">
      <alignment horizontal="center" vertical="top" wrapText="1"/>
    </xf>
    <xf numFmtId="0" fontId="125" fillId="0" borderId="11" xfId="59" applyFont="1" applyBorder="1" applyAlignment="1">
      <alignment horizontal="left" vertical="center"/>
      <protection/>
    </xf>
    <xf numFmtId="2" fontId="125" fillId="0" borderId="11" xfId="0" applyNumberFormat="1" applyFont="1" applyBorder="1" applyAlignment="1">
      <alignment/>
    </xf>
    <xf numFmtId="0" fontId="126" fillId="0" borderId="11" xfId="0" applyFont="1" applyBorder="1" applyAlignment="1">
      <alignment horizontal="center"/>
    </xf>
    <xf numFmtId="2" fontId="125" fillId="0" borderId="11" xfId="0" applyNumberFormat="1" applyFont="1" applyBorder="1" applyAlignment="1">
      <alignment horizontal="right" vertical="center"/>
    </xf>
    <xf numFmtId="0" fontId="125" fillId="0" borderId="11" xfId="0" applyFont="1" applyBorder="1" applyAlignment="1">
      <alignment horizontal="right" vertical="center"/>
    </xf>
    <xf numFmtId="2" fontId="125" fillId="0" borderId="11" xfId="0" applyNumberFormat="1" applyFont="1" applyBorder="1" applyAlignment="1">
      <alignment horizontal="center" vertical="center"/>
    </xf>
    <xf numFmtId="0" fontId="125" fillId="0" borderId="11" xfId="0" applyFont="1" applyBorder="1" applyAlignment="1">
      <alignment horizontal="center" vertical="center"/>
    </xf>
    <xf numFmtId="0" fontId="125" fillId="0" borderId="11" xfId="0" applyFont="1" applyBorder="1" applyAlignment="1">
      <alignment vertical="center"/>
    </xf>
    <xf numFmtId="0" fontId="125" fillId="0" borderId="11" xfId="59" applyFont="1" applyBorder="1" applyAlignment="1">
      <alignment horizontal="left" vertical="center" wrapText="1"/>
      <protection/>
    </xf>
    <xf numFmtId="0" fontId="126" fillId="0" borderId="11" xfId="59" applyFont="1" applyBorder="1" applyAlignment="1">
      <alignment horizontal="left" vertical="center"/>
      <protection/>
    </xf>
    <xf numFmtId="0" fontId="125" fillId="0" borderId="11" xfId="0" applyFont="1" applyBorder="1" applyAlignment="1">
      <alignment vertical="center"/>
    </xf>
    <xf numFmtId="2" fontId="125" fillId="0" borderId="11" xfId="0" applyNumberFormat="1" applyFont="1" applyBorder="1" applyAlignment="1">
      <alignment vertical="center"/>
    </xf>
    <xf numFmtId="0" fontId="126" fillId="0" borderId="11" xfId="0" applyFont="1" applyBorder="1" applyAlignment="1">
      <alignment/>
    </xf>
    <xf numFmtId="0" fontId="126" fillId="0" borderId="11" xfId="0" applyFont="1" applyFill="1" applyBorder="1" applyAlignment="1">
      <alignment horizontal="center"/>
    </xf>
    <xf numFmtId="0" fontId="126" fillId="0" borderId="11" xfId="59" applyFont="1" applyFill="1" applyBorder="1" applyAlignment="1">
      <alignment horizontal="left" vertical="center" wrapText="1"/>
      <protection/>
    </xf>
    <xf numFmtId="2" fontId="125" fillId="0" borderId="11" xfId="0" applyNumberFormat="1" applyFont="1" applyBorder="1" applyAlignment="1">
      <alignment vertical="center"/>
    </xf>
    <xf numFmtId="0" fontId="131" fillId="0" borderId="11" xfId="59" applyFont="1" applyBorder="1" applyAlignment="1">
      <alignment horizontal="left" vertical="center" wrapText="1"/>
      <protection/>
    </xf>
    <xf numFmtId="0" fontId="125" fillId="0" borderId="0" xfId="0" applyFont="1" applyBorder="1" applyAlignment="1">
      <alignment/>
    </xf>
    <xf numFmtId="0" fontId="126" fillId="0" borderId="0" xfId="59" applyFont="1" applyBorder="1" applyAlignment="1">
      <alignment horizontal="left" vertical="center"/>
      <protection/>
    </xf>
    <xf numFmtId="0" fontId="125" fillId="0" borderId="0" xfId="0" applyFont="1" applyBorder="1" applyAlignment="1">
      <alignment/>
    </xf>
    <xf numFmtId="0" fontId="125" fillId="0" borderId="0" xfId="0" applyFont="1" applyBorder="1" applyAlignment="1">
      <alignment horizontal="right"/>
    </xf>
    <xf numFmtId="0" fontId="126" fillId="0" borderId="0" xfId="0" applyFont="1" applyAlignment="1">
      <alignment vertical="top" wrapText="1"/>
    </xf>
    <xf numFmtId="14" fontId="125" fillId="0" borderId="0" xfId="0" applyNumberFormat="1" applyFont="1" applyAlignment="1">
      <alignment/>
    </xf>
    <xf numFmtId="1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0" fillId="0" borderId="11" xfId="57" applyFont="1" applyFill="1" applyBorder="1" applyAlignment="1">
      <alignment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2" fontId="42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126" fillId="0" borderId="12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1" xfId="59" applyFill="1" applyBorder="1">
      <alignment/>
      <protection/>
    </xf>
    <xf numFmtId="0" fontId="55" fillId="0" borderId="0" xfId="57" applyFont="1" applyAlignment="1">
      <alignment/>
      <protection/>
    </xf>
    <xf numFmtId="0" fontId="55" fillId="0" borderId="16" xfId="57" applyFont="1" applyBorder="1" applyAlignment="1">
      <alignment/>
      <protection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8" fillId="0" borderId="0" xfId="0" applyFont="1" applyAlignment="1">
      <alignment horizontal="right"/>
    </xf>
    <xf numFmtId="0" fontId="132" fillId="0" borderId="0" xfId="57" applyFont="1">
      <alignment/>
      <protection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132" fillId="0" borderId="0" xfId="57" applyFont="1" applyAlignment="1">
      <alignment horizontal="left"/>
      <protection/>
    </xf>
    <xf numFmtId="0" fontId="54" fillId="0" borderId="0" xfId="57" applyFont="1">
      <alignment/>
      <protection/>
    </xf>
    <xf numFmtId="0" fontId="54" fillId="0" borderId="0" xfId="57" applyFont="1" applyBorder="1" applyAlignment="1">
      <alignment horizontal="left"/>
      <protection/>
    </xf>
    <xf numFmtId="0" fontId="132" fillId="0" borderId="16" xfId="57" applyFont="1" applyBorder="1" applyAlignment="1">
      <alignment horizontal="center"/>
      <protection/>
    </xf>
    <xf numFmtId="0" fontId="60" fillId="0" borderId="11" xfId="57" applyFont="1" applyBorder="1" applyAlignment="1">
      <alignment horizontal="center" vertical="top" wrapText="1"/>
      <protection/>
    </xf>
    <xf numFmtId="0" fontId="54" fillId="0" borderId="0" xfId="57" applyFont="1" applyAlignment="1">
      <alignment horizontal="center"/>
      <protection/>
    </xf>
    <xf numFmtId="0" fontId="57" fillId="0" borderId="11" xfId="0" applyFont="1" applyBorder="1" applyAlignment="1">
      <alignment horizontal="center" vertical="top" wrapText="1"/>
    </xf>
    <xf numFmtId="0" fontId="61" fillId="0" borderId="12" xfId="57" applyFont="1" applyBorder="1" applyAlignment="1">
      <alignment horizontal="center" vertical="top" wrapText="1"/>
      <protection/>
    </xf>
    <xf numFmtId="0" fontId="61" fillId="0" borderId="11" xfId="57" applyFont="1" applyBorder="1" applyAlignment="1">
      <alignment horizontal="center" vertical="top" wrapText="1"/>
      <protection/>
    </xf>
    <xf numFmtId="0" fontId="62" fillId="0" borderId="0" xfId="57" applyFont="1" applyAlignment="1">
      <alignment horizontal="center"/>
      <protection/>
    </xf>
    <xf numFmtId="0" fontId="14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6" fillId="0" borderId="11" xfId="0" applyFont="1" applyBorder="1" applyAlignment="1" quotePrefix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6" fillId="0" borderId="14" xfId="0" applyFont="1" applyBorder="1" applyAlignment="1" quotePrefix="1">
      <alignment horizontal="center" vertical="top" wrapText="1"/>
    </xf>
    <xf numFmtId="0" fontId="16" fillId="0" borderId="15" xfId="0" applyFont="1" applyBorder="1" applyAlignment="1" quotePrefix="1">
      <alignment horizontal="center" vertical="top" wrapText="1"/>
    </xf>
    <xf numFmtId="0" fontId="16" fillId="0" borderId="18" xfId="0" applyFont="1" applyBorder="1" applyAlignment="1" quotePrefix="1">
      <alignment horizontal="center" vertical="top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6" fillId="0" borderId="0" xfId="0" applyFont="1" applyAlignment="1">
      <alignment horizontal="center"/>
    </xf>
    <xf numFmtId="0" fontId="126" fillId="0" borderId="0" xfId="0" applyFont="1" applyAlignment="1">
      <alignment horizontal="left" vertical="top" wrapText="1"/>
    </xf>
    <xf numFmtId="0" fontId="126" fillId="0" borderId="0" xfId="0" applyFont="1" applyAlignment="1">
      <alignment horizontal="center" vertical="top" wrapText="1"/>
    </xf>
    <xf numFmtId="0" fontId="126" fillId="0" borderId="11" xfId="0" applyFont="1" applyBorder="1" applyAlignment="1">
      <alignment horizontal="center"/>
    </xf>
    <xf numFmtId="0" fontId="126" fillId="0" borderId="22" xfId="0" applyFont="1" applyBorder="1" applyAlignment="1">
      <alignment horizontal="center"/>
    </xf>
    <xf numFmtId="0" fontId="126" fillId="0" borderId="20" xfId="0" applyFont="1" applyBorder="1" applyAlignment="1">
      <alignment horizontal="center"/>
    </xf>
    <xf numFmtId="0" fontId="126" fillId="0" borderId="23" xfId="0" applyFont="1" applyBorder="1" applyAlignment="1">
      <alignment horizontal="center"/>
    </xf>
    <xf numFmtId="0" fontId="116" fillId="0" borderId="16" xfId="0" applyFont="1" applyBorder="1" applyAlignment="1">
      <alignment horizontal="center"/>
    </xf>
    <xf numFmtId="0" fontId="126" fillId="0" borderId="22" xfId="0" applyFont="1" applyBorder="1" applyAlignment="1">
      <alignment horizontal="center" vertical="top" wrapText="1"/>
    </xf>
    <xf numFmtId="0" fontId="126" fillId="0" borderId="20" xfId="0" applyFont="1" applyBorder="1" applyAlignment="1">
      <alignment horizontal="center" vertical="top" wrapText="1"/>
    </xf>
    <xf numFmtId="0" fontId="126" fillId="0" borderId="17" xfId="0" applyFont="1" applyBorder="1" applyAlignment="1">
      <alignment horizontal="center" vertical="top" wrapText="1"/>
    </xf>
    <xf numFmtId="0" fontId="126" fillId="0" borderId="16" xfId="0" applyFont="1" applyBorder="1" applyAlignment="1">
      <alignment horizontal="center" vertical="top" wrapText="1"/>
    </xf>
    <xf numFmtId="0" fontId="126" fillId="0" borderId="10" xfId="0" applyFont="1" applyBorder="1" applyAlignment="1">
      <alignment vertical="top"/>
    </xf>
    <xf numFmtId="0" fontId="126" fillId="0" borderId="12" xfId="0" applyFont="1" applyBorder="1" applyAlignment="1">
      <alignment vertical="top"/>
    </xf>
    <xf numFmtId="0" fontId="126" fillId="0" borderId="22" xfId="0" applyFont="1" applyBorder="1" applyAlignment="1">
      <alignment horizontal="center" vertical="top"/>
    </xf>
    <xf numFmtId="0" fontId="126" fillId="0" borderId="20" xfId="0" applyFont="1" applyBorder="1" applyAlignment="1">
      <alignment horizontal="center" vertical="top"/>
    </xf>
    <xf numFmtId="0" fontId="126" fillId="0" borderId="23" xfId="0" applyFont="1" applyBorder="1" applyAlignment="1">
      <alignment horizontal="center" vertical="top"/>
    </xf>
    <xf numFmtId="0" fontId="126" fillId="0" borderId="17" xfId="0" applyFont="1" applyBorder="1" applyAlignment="1">
      <alignment horizontal="center" vertical="top"/>
    </xf>
    <xf numFmtId="0" fontId="126" fillId="0" borderId="16" xfId="0" applyFont="1" applyBorder="1" applyAlignment="1">
      <alignment horizontal="center" vertical="top"/>
    </xf>
    <xf numFmtId="0" fontId="126" fillId="0" borderId="24" xfId="0" applyFont="1" applyBorder="1" applyAlignment="1">
      <alignment horizontal="center" vertical="top"/>
    </xf>
    <xf numFmtId="0" fontId="126" fillId="0" borderId="14" xfId="0" applyFont="1" applyBorder="1" applyAlignment="1">
      <alignment horizontal="center"/>
    </xf>
    <xf numFmtId="0" fontId="126" fillId="0" borderId="18" xfId="0" applyFont="1" applyBorder="1" applyAlignment="1">
      <alignment horizontal="center"/>
    </xf>
    <xf numFmtId="0" fontId="126" fillId="0" borderId="15" xfId="0" applyFont="1" applyBorder="1" applyAlignment="1">
      <alignment horizontal="center"/>
    </xf>
    <xf numFmtId="0" fontId="133" fillId="0" borderId="0" xfId="0" applyFont="1" applyAlignment="1">
      <alignment horizontal="center"/>
    </xf>
    <xf numFmtId="0" fontId="128" fillId="0" borderId="0" xfId="0" applyFont="1" applyAlignment="1">
      <alignment horizontal="center"/>
    </xf>
    <xf numFmtId="0" fontId="134" fillId="0" borderId="0" xfId="0" applyFont="1" applyAlignment="1">
      <alignment horizontal="center"/>
    </xf>
    <xf numFmtId="0" fontId="126" fillId="0" borderId="0" xfId="0" applyFont="1" applyAlignment="1">
      <alignment horizontal="left"/>
    </xf>
    <xf numFmtId="0" fontId="10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0" fontId="24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16" fillId="0" borderId="16" xfId="61" applyFont="1" applyBorder="1" applyAlignment="1">
      <alignment horizontal="center"/>
      <protection/>
    </xf>
    <xf numFmtId="0" fontId="14" fillId="0" borderId="11" xfId="61" applyFont="1" applyBorder="1" applyAlignment="1">
      <alignment horizontal="center" vertical="top" wrapText="1"/>
      <protection/>
    </xf>
    <xf numFmtId="0" fontId="14" fillId="0" borderId="10" xfId="61" applyFont="1" applyBorder="1" applyAlignment="1">
      <alignment horizontal="center" vertical="center" wrapText="1"/>
      <protection/>
    </xf>
    <xf numFmtId="0" fontId="14" fillId="0" borderId="19" xfId="6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center" wrapText="1"/>
      <protection/>
    </xf>
    <xf numFmtId="0" fontId="14" fillId="0" borderId="20" xfId="61" applyFont="1" applyBorder="1" applyAlignment="1">
      <alignment horizontal="center" vertical="center" wrapText="1"/>
      <protection/>
    </xf>
    <xf numFmtId="0" fontId="14" fillId="0" borderId="23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24" xfId="61" applyFont="1" applyBorder="1" applyAlignment="1">
      <alignment horizontal="center" vertical="center" wrapText="1"/>
      <protection/>
    </xf>
    <xf numFmtId="0" fontId="14" fillId="0" borderId="22" xfId="61" applyFont="1" applyBorder="1" applyAlignment="1">
      <alignment horizontal="center" vertical="top" wrapText="1"/>
      <protection/>
    </xf>
    <xf numFmtId="0" fontId="14" fillId="0" borderId="20" xfId="61" applyFont="1" applyBorder="1" applyAlignment="1">
      <alignment horizontal="center" vertical="top" wrapText="1"/>
      <protection/>
    </xf>
    <xf numFmtId="0" fontId="14" fillId="0" borderId="23" xfId="61" applyFont="1" applyBorder="1" applyAlignment="1">
      <alignment horizontal="center" vertical="top" wrapText="1"/>
      <protection/>
    </xf>
    <xf numFmtId="0" fontId="14" fillId="0" borderId="17" xfId="61" applyFont="1" applyBorder="1" applyAlignment="1">
      <alignment horizontal="center" vertical="top" wrapText="1"/>
      <protection/>
    </xf>
    <xf numFmtId="0" fontId="14" fillId="0" borderId="16" xfId="61" applyFont="1" applyBorder="1" applyAlignment="1">
      <alignment horizontal="center" vertical="top" wrapText="1"/>
      <protection/>
    </xf>
    <xf numFmtId="0" fontId="14" fillId="0" borderId="24" xfId="61" applyFont="1" applyBorder="1" applyAlignment="1">
      <alignment horizontal="center" vertical="top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0" fontId="11" fillId="0" borderId="14" xfId="61" applyFont="1" applyBorder="1" applyAlignment="1">
      <alignment horizontal="center" vertical="top" wrapText="1"/>
      <protection/>
    </xf>
    <xf numFmtId="0" fontId="11" fillId="0" borderId="15" xfId="61" applyFont="1" applyBorder="1" applyAlignment="1">
      <alignment horizontal="center" vertical="top" wrapText="1"/>
      <protection/>
    </xf>
    <xf numFmtId="0" fontId="12" fillId="0" borderId="0" xfId="61" applyFont="1" applyAlignment="1">
      <alignment horizontal="left"/>
      <protection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6" fillId="0" borderId="16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44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1" fontId="40" fillId="0" borderId="18" xfId="0" applyNumberFormat="1" applyFont="1" applyBorder="1" applyAlignment="1">
      <alignment horizontal="center" vertical="center"/>
    </xf>
    <xf numFmtId="1" fontId="40" fillId="0" borderId="15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45" fillId="0" borderId="16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1" fontId="40" fillId="0" borderId="1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6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57" applyFont="1" applyBorder="1" applyAlignment="1">
      <alignment horizontal="center" vertical="center" wrapText="1"/>
      <protection/>
    </xf>
    <xf numFmtId="0" fontId="2" fillId="0" borderId="11" xfId="57" applyFont="1" applyBorder="1" applyAlignment="1">
      <alignment horizontal="center" vertical="top" wrapText="1"/>
      <protection/>
    </xf>
    <xf numFmtId="0" fontId="7" fillId="0" borderId="0" xfId="57" applyFont="1" applyBorder="1" applyAlignment="1">
      <alignment horizontal="left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9" xfId="57" applyFont="1" applyBorder="1" applyAlignment="1">
      <alignment horizontal="center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2" fillId="33" borderId="10" xfId="57" applyFont="1" applyFill="1" applyBorder="1" applyAlignment="1">
      <alignment horizontal="center" vertical="top" wrapText="1"/>
      <protection/>
    </xf>
    <xf numFmtId="0" fontId="2" fillId="33" borderId="19" xfId="57" applyFont="1" applyFill="1" applyBorder="1" applyAlignment="1">
      <alignment horizontal="center" vertical="top" wrapText="1"/>
      <protection/>
    </xf>
    <xf numFmtId="0" fontId="2" fillId="33" borderId="12" xfId="57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22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0" fontId="40" fillId="0" borderId="23" xfId="0" applyFont="1" applyBorder="1" applyAlignment="1">
      <alignment horizontal="center" vertical="top" wrapText="1"/>
    </xf>
    <xf numFmtId="0" fontId="40" fillId="0" borderId="0" xfId="59" applyFont="1" applyAlignment="1">
      <alignment horizontal="center"/>
      <protection/>
    </xf>
    <xf numFmtId="0" fontId="40" fillId="0" borderId="11" xfId="0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40" fillId="0" borderId="14" xfId="0" applyFont="1" applyBorder="1" applyAlignment="1">
      <alignment horizontal="center" vertical="top"/>
    </xf>
    <xf numFmtId="0" fontId="40" fillId="0" borderId="18" xfId="0" applyFont="1" applyBorder="1" applyAlignment="1">
      <alignment horizontal="center" vertical="top"/>
    </xf>
    <xf numFmtId="0" fontId="40" fillId="0" borderId="15" xfId="0" applyFont="1" applyBorder="1" applyAlignment="1">
      <alignment horizontal="center" vertical="top"/>
    </xf>
    <xf numFmtId="0" fontId="45" fillId="0" borderId="16" xfId="0" applyFont="1" applyBorder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40" fillId="0" borderId="18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35" fillId="0" borderId="11" xfId="0" applyFont="1" applyBorder="1" applyAlignment="1">
      <alignment horizontal="center" vertical="top" wrapText="1"/>
    </xf>
    <xf numFmtId="0" fontId="135" fillId="0" borderId="10" xfId="0" applyFont="1" applyBorder="1" applyAlignment="1">
      <alignment horizontal="center" vertical="top" wrapText="1"/>
    </xf>
    <xf numFmtId="0" fontId="135" fillId="0" borderId="19" xfId="0" applyFont="1" applyBorder="1" applyAlignment="1">
      <alignment horizontal="center" vertical="top" wrapText="1"/>
    </xf>
    <xf numFmtId="0" fontId="135" fillId="0" borderId="12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122" fillId="0" borderId="0" xfId="0" applyFont="1" applyBorder="1" applyAlignment="1">
      <alignment horizontal="center" vertical="top"/>
    </xf>
    <xf numFmtId="0" fontId="16" fillId="0" borderId="16" xfId="0" applyFont="1" applyBorder="1" applyAlignment="1">
      <alignment horizontal="left"/>
    </xf>
    <xf numFmtId="0" fontId="31" fillId="0" borderId="10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2" fillId="33" borderId="10" xfId="57" applyFont="1" applyFill="1" applyBorder="1" applyAlignment="1" quotePrefix="1">
      <alignment horizontal="center" vertical="center" wrapText="1"/>
      <protection/>
    </xf>
    <xf numFmtId="0" fontId="2" fillId="33" borderId="12" xfId="57" applyFont="1" applyFill="1" applyBorder="1" applyAlignment="1" quotePrefix="1">
      <alignment horizontal="center" vertical="center" wrapText="1"/>
      <protection/>
    </xf>
    <xf numFmtId="0" fontId="2" fillId="33" borderId="14" xfId="57" applyFont="1" applyFill="1" applyBorder="1" applyAlignment="1" quotePrefix="1">
      <alignment horizontal="center" vertical="center" wrapText="1"/>
      <protection/>
    </xf>
    <xf numFmtId="0" fontId="2" fillId="33" borderId="18" xfId="57" applyFont="1" applyFill="1" applyBorder="1" applyAlignment="1" quotePrefix="1">
      <alignment horizontal="center" vertical="center" wrapText="1"/>
      <protection/>
    </xf>
    <xf numFmtId="0" fontId="2" fillId="33" borderId="15" xfId="57" applyFont="1" applyFill="1" applyBorder="1" applyAlignment="1" quotePrefix="1">
      <alignment horizontal="center" vertical="center" wrapText="1"/>
      <protection/>
    </xf>
    <xf numFmtId="0" fontId="2" fillId="0" borderId="14" xfId="57" applyFont="1" applyBorder="1" applyAlignment="1">
      <alignment horizontal="left" vertical="center"/>
      <protection/>
    </xf>
    <xf numFmtId="0" fontId="2" fillId="0" borderId="18" xfId="57" applyFont="1" applyBorder="1" applyAlignment="1">
      <alignment horizontal="left" vertical="center"/>
      <protection/>
    </xf>
    <xf numFmtId="0" fontId="2" fillId="0" borderId="15" xfId="57" applyFont="1" applyBorder="1" applyAlignment="1">
      <alignment horizontal="left" vertical="center"/>
      <protection/>
    </xf>
    <xf numFmtId="0" fontId="5" fillId="0" borderId="0" xfId="57" applyFont="1" applyAlignment="1">
      <alignment horizontal="center"/>
      <protection/>
    </xf>
    <xf numFmtId="0" fontId="5" fillId="0" borderId="0" xfId="57" applyFont="1" applyAlignment="1">
      <alignment/>
      <protection/>
    </xf>
    <xf numFmtId="0" fontId="2" fillId="0" borderId="0" xfId="58" applyFont="1" applyAlignment="1">
      <alignment horizontal="center"/>
      <protection/>
    </xf>
    <xf numFmtId="0" fontId="125" fillId="0" borderId="11" xfId="0" applyFont="1" applyBorder="1" applyAlignment="1">
      <alignment horizontal="center" vertical="top" wrapText="1"/>
    </xf>
    <xf numFmtId="0" fontId="2" fillId="0" borderId="0" xfId="58" applyFont="1" applyAlignment="1">
      <alignment/>
      <protection/>
    </xf>
    <xf numFmtId="0" fontId="116" fillId="0" borderId="0" xfId="0" applyFont="1" applyAlignment="1">
      <alignment horizontal="right"/>
    </xf>
    <xf numFmtId="0" fontId="125" fillId="0" borderId="10" xfId="0" applyFont="1" applyBorder="1" applyAlignment="1">
      <alignment horizontal="center" vertical="top" wrapText="1"/>
    </xf>
    <xf numFmtId="0" fontId="125" fillId="0" borderId="19" xfId="0" applyFont="1" applyBorder="1" applyAlignment="1">
      <alignment horizontal="center" vertical="top" wrapText="1"/>
    </xf>
    <xf numFmtId="0" fontId="125" fillId="0" borderId="12" xfId="0" applyFont="1" applyBorder="1" applyAlignment="1">
      <alignment horizontal="center" vertical="top" wrapText="1"/>
    </xf>
    <xf numFmtId="0" fontId="0" fillId="34" borderId="2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14" fillId="33" borderId="14" xfId="0" applyFont="1" applyFill="1" applyBorder="1" applyAlignment="1">
      <alignment horizontal="center" vertical="top" wrapText="1"/>
    </xf>
    <xf numFmtId="0" fontId="114" fillId="33" borderId="18" xfId="0" applyFont="1" applyFill="1" applyBorder="1" applyAlignment="1">
      <alignment horizontal="center" vertical="top" wrapText="1"/>
    </xf>
    <xf numFmtId="0" fontId="114" fillId="33" borderId="15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114" fillId="0" borderId="11" xfId="0" applyFont="1" applyBorder="1" applyAlignment="1">
      <alignment horizontal="center" vertical="top" wrapText="1"/>
    </xf>
    <xf numFmtId="0" fontId="16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top" wrapText="1"/>
    </xf>
    <xf numFmtId="0" fontId="31" fillId="0" borderId="16" xfId="0" applyFont="1" applyBorder="1" applyAlignment="1">
      <alignment horizontal="right"/>
    </xf>
    <xf numFmtId="0" fontId="40" fillId="0" borderId="11" xfId="59" applyFont="1" applyBorder="1" applyAlignment="1">
      <alignment horizontal="center" vertical="top" wrapText="1"/>
      <protection/>
    </xf>
    <xf numFmtId="0" fontId="42" fillId="0" borderId="11" xfId="0" applyFont="1" applyBorder="1" applyAlignment="1">
      <alignment horizontal="center" vertical="top" wrapText="1"/>
    </xf>
    <xf numFmtId="0" fontId="44" fillId="0" borderId="0" xfId="59" applyFont="1" applyAlignment="1">
      <alignment horizontal="center"/>
      <protection/>
    </xf>
    <xf numFmtId="0" fontId="40" fillId="0" borderId="11" xfId="0" applyFont="1" applyBorder="1" applyAlignment="1">
      <alignment horizontal="center" vertical="center" wrapText="1"/>
    </xf>
    <xf numFmtId="0" fontId="40" fillId="0" borderId="11" xfId="59" applyFont="1" applyBorder="1" applyAlignment="1">
      <alignment horizontal="center" vertical="center" wrapText="1"/>
      <protection/>
    </xf>
    <xf numFmtId="0" fontId="0" fillId="0" borderId="0" xfId="59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2" fillId="0" borderId="14" xfId="59" applyFont="1" applyBorder="1" applyAlignment="1">
      <alignment horizontal="center" vertical="top"/>
      <protection/>
    </xf>
    <xf numFmtId="0" fontId="2" fillId="0" borderId="18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/>
      <protection/>
    </xf>
    <xf numFmtId="0" fontId="2" fillId="0" borderId="11" xfId="59" applyFont="1" applyBorder="1" applyAlignment="1">
      <alignment horizontal="center" vertical="top" wrapText="1"/>
      <protection/>
    </xf>
    <xf numFmtId="0" fontId="42" fillId="0" borderId="0" xfId="0" applyFont="1" applyAlignment="1">
      <alignment horizontal="left"/>
    </xf>
    <xf numFmtId="0" fontId="42" fillId="0" borderId="0" xfId="59" applyFont="1" applyAlignment="1">
      <alignment horizontal="left"/>
      <protection/>
    </xf>
    <xf numFmtId="0" fontId="0" fillId="0" borderId="0" xfId="0" applyAlignment="1">
      <alignment horizontal="left"/>
    </xf>
    <xf numFmtId="0" fontId="14" fillId="0" borderId="10" xfId="59" applyFont="1" applyBorder="1" applyAlignment="1">
      <alignment horizontal="center" vertical="top" wrapText="1"/>
      <protection/>
    </xf>
    <xf numFmtId="0" fontId="14" fillId="0" borderId="12" xfId="59" applyFont="1" applyBorder="1" applyAlignment="1">
      <alignment horizontal="center" vertical="top" wrapText="1"/>
      <protection/>
    </xf>
    <xf numFmtId="0" fontId="40" fillId="0" borderId="14" xfId="59" applyFont="1" applyBorder="1" applyAlignment="1">
      <alignment horizontal="center" vertical="top"/>
      <protection/>
    </xf>
    <xf numFmtId="0" fontId="40" fillId="0" borderId="18" xfId="59" applyFont="1" applyBorder="1" applyAlignment="1">
      <alignment horizontal="center" vertical="top"/>
      <protection/>
    </xf>
    <xf numFmtId="0" fontId="40" fillId="0" borderId="26" xfId="59" applyFont="1" applyBorder="1" applyAlignment="1">
      <alignment horizontal="center" vertical="top"/>
      <protection/>
    </xf>
    <xf numFmtId="0" fontId="40" fillId="0" borderId="0" xfId="0" applyFont="1" applyAlignment="1">
      <alignment horizontal="left"/>
    </xf>
    <xf numFmtId="0" fontId="40" fillId="0" borderId="0" xfId="59" applyFont="1" applyAlignment="1">
      <alignment horizontal="right" vertical="top" wrapText="1"/>
      <protection/>
    </xf>
    <xf numFmtId="0" fontId="40" fillId="0" borderId="10" xfId="59" applyFont="1" applyBorder="1" applyAlignment="1">
      <alignment horizontal="center" vertical="top" wrapText="1"/>
      <protection/>
    </xf>
    <xf numFmtId="0" fontId="40" fillId="0" borderId="12" xfId="59" applyFont="1" applyBorder="1" applyAlignment="1">
      <alignment horizontal="center" vertical="top" wrapText="1"/>
      <protection/>
    </xf>
    <xf numFmtId="0" fontId="40" fillId="0" borderId="14" xfId="59" applyFont="1" applyBorder="1" applyAlignment="1">
      <alignment horizontal="center" vertical="top" wrapText="1"/>
      <protection/>
    </xf>
    <xf numFmtId="0" fontId="40" fillId="0" borderId="18" xfId="59" applyFont="1" applyBorder="1" applyAlignment="1">
      <alignment horizontal="center" vertical="top" wrapText="1"/>
      <protection/>
    </xf>
    <xf numFmtId="0" fontId="40" fillId="0" borderId="15" xfId="59" applyFont="1" applyBorder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33" borderId="11" xfId="57" applyFont="1" applyFill="1" applyBorder="1" applyAlignment="1" quotePrefix="1">
      <alignment horizontal="center" vertical="center" wrapText="1"/>
      <protection/>
    </xf>
    <xf numFmtId="0" fontId="0" fillId="0" borderId="14" xfId="57" applyFont="1" applyBorder="1" applyAlignment="1">
      <alignment horizontal="center"/>
      <protection/>
    </xf>
    <xf numFmtId="0" fontId="0" fillId="0" borderId="18" xfId="57" applyFont="1" applyBorder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31" fillId="0" borderId="19" xfId="0" applyFont="1" applyBorder="1" applyAlignment="1">
      <alignment horizontal="center" vertical="top" wrapText="1"/>
    </xf>
    <xf numFmtId="0" fontId="2" fillId="33" borderId="0" xfId="57" applyFont="1" applyFill="1" applyAlignment="1">
      <alignment horizontal="center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16" fillId="33" borderId="0" xfId="0" applyFont="1" applyFill="1" applyBorder="1" applyAlignment="1">
      <alignment horizontal="right"/>
    </xf>
    <xf numFmtId="0" fontId="16" fillId="33" borderId="0" xfId="57" applyFont="1" applyFill="1" applyAlignment="1">
      <alignment horizontal="right"/>
      <protection/>
    </xf>
    <xf numFmtId="0" fontId="14" fillId="33" borderId="0" xfId="57" applyFont="1" applyFill="1" applyAlignment="1">
      <alignment horizontal="center"/>
      <protection/>
    </xf>
    <xf numFmtId="0" fontId="31" fillId="33" borderId="10" xfId="0" applyFont="1" applyFill="1" applyBorder="1" applyAlignment="1">
      <alignment horizontal="center" vertical="top" wrapText="1"/>
    </xf>
    <xf numFmtId="0" fontId="31" fillId="33" borderId="19" xfId="0" applyFont="1" applyFill="1" applyBorder="1" applyAlignment="1">
      <alignment horizontal="center" vertical="top" wrapText="1"/>
    </xf>
    <xf numFmtId="0" fontId="136" fillId="0" borderId="0" xfId="0" applyFont="1" applyBorder="1" applyAlignment="1">
      <alignment horizontal="left" vertical="center" wrapText="1"/>
    </xf>
    <xf numFmtId="0" fontId="119" fillId="0" borderId="11" xfId="0" applyFont="1" applyBorder="1" applyAlignment="1">
      <alignment horizontal="center" vertical="top" wrapText="1"/>
    </xf>
    <xf numFmtId="0" fontId="118" fillId="0" borderId="0" xfId="0" applyFont="1" applyBorder="1" applyAlignment="1">
      <alignment horizontal="center" vertical="top"/>
    </xf>
    <xf numFmtId="0" fontId="119" fillId="0" borderId="10" xfId="0" applyFont="1" applyBorder="1" applyAlignment="1">
      <alignment horizontal="center" vertical="top" wrapText="1"/>
    </xf>
    <xf numFmtId="0" fontId="119" fillId="0" borderId="19" xfId="0" applyFont="1" applyBorder="1" applyAlignment="1">
      <alignment horizontal="center" vertical="top" wrapText="1"/>
    </xf>
    <xf numFmtId="0" fontId="119" fillId="0" borderId="12" xfId="0" applyFont="1" applyBorder="1" applyAlignment="1">
      <alignment horizontal="center" vertical="top" wrapText="1"/>
    </xf>
    <xf numFmtId="0" fontId="119" fillId="0" borderId="22" xfId="0" applyFont="1" applyBorder="1" applyAlignment="1">
      <alignment horizontal="center" vertical="top" wrapText="1"/>
    </xf>
    <xf numFmtId="0" fontId="119" fillId="0" borderId="20" xfId="0" applyFont="1" applyBorder="1" applyAlignment="1">
      <alignment horizontal="center" vertical="top" wrapText="1"/>
    </xf>
    <xf numFmtId="0" fontId="119" fillId="0" borderId="23" xfId="0" applyFont="1" applyBorder="1" applyAlignment="1">
      <alignment horizontal="center" vertical="top" wrapText="1"/>
    </xf>
    <xf numFmtId="0" fontId="119" fillId="0" borderId="21" xfId="0" applyFont="1" applyBorder="1" applyAlignment="1">
      <alignment horizontal="center" vertical="top" wrapText="1"/>
    </xf>
    <xf numFmtId="0" fontId="119" fillId="0" borderId="0" xfId="0" applyFont="1" applyBorder="1" applyAlignment="1">
      <alignment horizontal="center" vertical="top" wrapText="1"/>
    </xf>
    <xf numFmtId="0" fontId="119" fillId="0" borderId="25" xfId="0" applyFont="1" applyBorder="1" applyAlignment="1">
      <alignment horizontal="center" vertical="top" wrapText="1"/>
    </xf>
    <xf numFmtId="0" fontId="122" fillId="0" borderId="0" xfId="0" applyFont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44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/>
    </xf>
    <xf numFmtId="0" fontId="43" fillId="33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center" vertical="top" wrapText="1"/>
    </xf>
    <xf numFmtId="0" fontId="40" fillId="33" borderId="14" xfId="0" applyFont="1" applyFill="1" applyBorder="1" applyAlignment="1">
      <alignment horizontal="center" vertical="top" wrapText="1"/>
    </xf>
    <xf numFmtId="0" fontId="40" fillId="33" borderId="18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0" fillId="33" borderId="22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wrapText="1"/>
    </xf>
    <xf numFmtId="0" fontId="21" fillId="0" borderId="10" xfId="57" applyFont="1" applyBorder="1" applyAlignment="1">
      <alignment horizontal="center" vertical="top" wrapText="1"/>
      <protection/>
    </xf>
    <xf numFmtId="0" fontId="21" fillId="0" borderId="12" xfId="57" applyFont="1" applyBorder="1" applyAlignment="1">
      <alignment horizontal="center" vertical="top" wrapText="1"/>
      <protection/>
    </xf>
    <xf numFmtId="0" fontId="21" fillId="0" borderId="14" xfId="57" applyFont="1" applyBorder="1" applyAlignment="1">
      <alignment horizontal="center" vertical="top" wrapText="1"/>
      <protection/>
    </xf>
    <xf numFmtId="0" fontId="21" fillId="0" borderId="18" xfId="57" applyFont="1" applyBorder="1" applyAlignment="1">
      <alignment horizontal="center" vertical="top" wrapText="1"/>
      <protection/>
    </xf>
    <xf numFmtId="0" fontId="21" fillId="0" borderId="23" xfId="57" applyFont="1" applyBorder="1" applyAlignment="1">
      <alignment horizontal="center" vertical="top" wrapText="1"/>
      <protection/>
    </xf>
    <xf numFmtId="0" fontId="21" fillId="0" borderId="11" xfId="57" applyFont="1" applyBorder="1" applyAlignment="1">
      <alignment horizontal="center" vertical="top" wrapText="1"/>
      <protection/>
    </xf>
    <xf numFmtId="0" fontId="21" fillId="0" borderId="15" xfId="57" applyFont="1" applyBorder="1" applyAlignment="1">
      <alignment horizontal="center" vertical="top" wrapText="1"/>
      <protection/>
    </xf>
    <xf numFmtId="0" fontId="17" fillId="0" borderId="11" xfId="57" applyFont="1" applyBorder="1" applyAlignment="1">
      <alignment horizontal="center" vertical="top" wrapText="1"/>
      <protection/>
    </xf>
    <xf numFmtId="0" fontId="54" fillId="0" borderId="14" xfId="57" applyFont="1" applyBorder="1" applyAlignment="1">
      <alignment horizontal="center" vertical="top" wrapText="1"/>
      <protection/>
    </xf>
    <xf numFmtId="0" fontId="54" fillId="0" borderId="18" xfId="57" applyFont="1" applyBorder="1" applyAlignment="1">
      <alignment horizontal="center" vertical="top" wrapText="1"/>
      <protection/>
    </xf>
    <xf numFmtId="0" fontId="54" fillId="0" borderId="15" xfId="57" applyFont="1" applyBorder="1" applyAlignment="1">
      <alignment horizontal="center" vertical="top" wrapText="1"/>
      <protection/>
    </xf>
    <xf numFmtId="0" fontId="58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5" fillId="0" borderId="11" xfId="0" applyFont="1" applyBorder="1" applyAlignment="1">
      <alignment horizontal="center" vertical="top" wrapText="1"/>
    </xf>
    <xf numFmtId="0" fontId="60" fillId="0" borderId="10" xfId="57" applyFont="1" applyBorder="1" applyAlignment="1">
      <alignment horizontal="center" vertical="top" wrapText="1"/>
      <protection/>
    </xf>
    <xf numFmtId="0" fontId="60" fillId="0" borderId="12" xfId="57" applyFont="1" applyBorder="1" applyAlignment="1">
      <alignment horizontal="center" vertical="top" wrapText="1"/>
      <protection/>
    </xf>
    <xf numFmtId="0" fontId="60" fillId="0" borderId="11" xfId="57" applyFont="1" applyBorder="1" applyAlignment="1">
      <alignment horizontal="center" vertical="top" wrapText="1"/>
      <protection/>
    </xf>
    <xf numFmtId="0" fontId="60" fillId="0" borderId="14" xfId="57" applyFont="1" applyBorder="1" applyAlignment="1">
      <alignment horizontal="center" vertical="top" wrapText="1"/>
      <protection/>
    </xf>
    <xf numFmtId="0" fontId="60" fillId="0" borderId="18" xfId="57" applyFont="1" applyBorder="1" applyAlignment="1">
      <alignment horizontal="center" vertical="top" wrapText="1"/>
      <protection/>
    </xf>
    <xf numFmtId="0" fontId="60" fillId="0" borderId="15" xfId="57" applyFont="1" applyBorder="1" applyAlignment="1">
      <alignment horizontal="center" vertical="top" wrapText="1"/>
      <protection/>
    </xf>
    <xf numFmtId="0" fontId="49" fillId="0" borderId="11" xfId="57" applyFont="1" applyBorder="1" applyAlignment="1">
      <alignment horizontal="center" vertical="top" wrapText="1"/>
      <protection/>
    </xf>
    <xf numFmtId="0" fontId="49" fillId="0" borderId="12" xfId="57" applyFont="1" applyBorder="1" applyAlignment="1">
      <alignment horizontal="center" vertical="top" wrapText="1"/>
      <protection/>
    </xf>
    <xf numFmtId="0" fontId="49" fillId="0" borderId="11" xfId="57" applyFont="1" applyBorder="1" applyAlignment="1">
      <alignment horizontal="center" wrapText="1"/>
      <protection/>
    </xf>
    <xf numFmtId="0" fontId="49" fillId="0" borderId="10" xfId="57" applyFont="1" applyBorder="1" applyAlignment="1">
      <alignment horizontal="center" vertical="top" wrapText="1"/>
      <protection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wrapText="1"/>
    </xf>
    <xf numFmtId="0" fontId="49" fillId="0" borderId="10" xfId="57" applyFont="1" applyBorder="1" applyAlignment="1">
      <alignment horizontal="center" vertical="top"/>
      <protection/>
    </xf>
    <xf numFmtId="0" fontId="49" fillId="0" borderId="19" xfId="57" applyFont="1" applyBorder="1" applyAlignment="1">
      <alignment horizontal="center" vertical="top"/>
      <protection/>
    </xf>
    <xf numFmtId="0" fontId="49" fillId="0" borderId="12" xfId="57" applyFont="1" applyBorder="1" applyAlignment="1">
      <alignment horizontal="center" vertical="top"/>
      <protection/>
    </xf>
    <xf numFmtId="0" fontId="49" fillId="0" borderId="19" xfId="57" applyFont="1" applyBorder="1" applyAlignment="1">
      <alignment horizontal="center" vertical="top" wrapText="1"/>
      <protection/>
    </xf>
    <xf numFmtId="0" fontId="49" fillId="0" borderId="22" xfId="57" applyFont="1" applyBorder="1" applyAlignment="1">
      <alignment horizontal="center" vertical="top" wrapText="1"/>
      <protection/>
    </xf>
    <xf numFmtId="0" fontId="49" fillId="0" borderId="23" xfId="57" applyFont="1" applyBorder="1" applyAlignment="1">
      <alignment horizontal="center" vertical="top" wrapText="1"/>
      <protection/>
    </xf>
    <xf numFmtId="0" fontId="49" fillId="0" borderId="21" xfId="57" applyFont="1" applyBorder="1" applyAlignment="1">
      <alignment horizontal="center" vertical="top" wrapText="1"/>
      <protection/>
    </xf>
    <xf numFmtId="0" fontId="49" fillId="0" borderId="25" xfId="57" applyFont="1" applyBorder="1" applyAlignment="1">
      <alignment horizontal="center" vertical="top" wrapText="1"/>
      <protection/>
    </xf>
    <xf numFmtId="0" fontId="49" fillId="0" borderId="14" xfId="57" applyFont="1" applyBorder="1" applyAlignment="1">
      <alignment horizontal="center" wrapText="1"/>
      <protection/>
    </xf>
    <xf numFmtId="0" fontId="49" fillId="0" borderId="18" xfId="57" applyFont="1" applyBorder="1" applyAlignment="1">
      <alignment horizontal="center" wrapText="1"/>
      <protection/>
    </xf>
    <xf numFmtId="0" fontId="49" fillId="0" borderId="15" xfId="57" applyFont="1" applyBorder="1" applyAlignment="1">
      <alignment horizontal="center" wrapText="1"/>
      <protection/>
    </xf>
    <xf numFmtId="0" fontId="48" fillId="0" borderId="0" xfId="57" applyFont="1" applyAlignment="1">
      <alignment horizontal="center"/>
      <protection/>
    </xf>
    <xf numFmtId="0" fontId="7" fillId="0" borderId="14" xfId="60" applyFont="1" applyBorder="1" applyAlignment="1">
      <alignment horizontal="center" vertical="top" wrapText="1"/>
      <protection/>
    </xf>
    <xf numFmtId="0" fontId="7" fillId="0" borderId="15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 wrapText="1"/>
      <protection/>
    </xf>
    <xf numFmtId="0" fontId="16" fillId="0" borderId="18" xfId="60" applyFont="1" applyBorder="1" applyAlignment="1">
      <alignment horizontal="center" vertical="top" wrapText="1"/>
      <protection/>
    </xf>
    <xf numFmtId="0" fontId="16" fillId="0" borderId="15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/>
      <protection/>
    </xf>
    <xf numFmtId="0" fontId="16" fillId="0" borderId="10" xfId="60" applyFont="1" applyBorder="1" applyAlignment="1">
      <alignment horizontal="center" vertical="top" wrapText="1"/>
      <protection/>
    </xf>
    <xf numFmtId="0" fontId="16" fillId="0" borderId="12" xfId="60" applyFont="1" applyBorder="1" applyAlignment="1">
      <alignment horizontal="center" vertical="top" wrapText="1"/>
      <protection/>
    </xf>
    <xf numFmtId="0" fontId="16" fillId="0" borderId="14" xfId="60" applyFont="1" applyBorder="1" applyAlignment="1">
      <alignment horizontal="center" vertical="top"/>
      <protection/>
    </xf>
    <xf numFmtId="0" fontId="16" fillId="0" borderId="18" xfId="60" applyFont="1" applyBorder="1" applyAlignment="1">
      <alignment horizontal="center" vertical="top"/>
      <protection/>
    </xf>
    <xf numFmtId="0" fontId="16" fillId="0" borderId="15" xfId="60" applyFont="1" applyBorder="1" applyAlignment="1">
      <alignment horizontal="center" vertical="top"/>
      <protection/>
    </xf>
    <xf numFmtId="0" fontId="16" fillId="0" borderId="22" xfId="60" applyFont="1" applyBorder="1" applyAlignment="1">
      <alignment horizontal="center" vertical="top" wrapText="1"/>
      <protection/>
    </xf>
    <xf numFmtId="0" fontId="16" fillId="0" borderId="20" xfId="60" applyFont="1" applyBorder="1" applyAlignment="1">
      <alignment horizontal="center" vertical="top" wrapText="1"/>
      <protection/>
    </xf>
    <xf numFmtId="0" fontId="16" fillId="0" borderId="23" xfId="60" applyFont="1" applyBorder="1" applyAlignment="1">
      <alignment horizontal="center" vertical="top" wrapText="1"/>
      <protection/>
    </xf>
    <xf numFmtId="0" fontId="16" fillId="0" borderId="17" xfId="60" applyFont="1" applyBorder="1" applyAlignment="1">
      <alignment horizontal="center" vertical="top" wrapText="1"/>
      <protection/>
    </xf>
    <xf numFmtId="0" fontId="16" fillId="0" borderId="16" xfId="60" applyFont="1" applyBorder="1" applyAlignment="1">
      <alignment horizontal="center" vertical="top" wrapText="1"/>
      <protection/>
    </xf>
    <xf numFmtId="0" fontId="16" fillId="0" borderId="24" xfId="60" applyFont="1" applyBorder="1" applyAlignment="1">
      <alignment horizontal="center" vertical="top" wrapText="1"/>
      <protection/>
    </xf>
    <xf numFmtId="0" fontId="3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0" fontId="2" fillId="0" borderId="0" xfId="60" applyFont="1" applyAlignment="1">
      <alignment horizontal="left"/>
      <protection/>
    </xf>
    <xf numFmtId="0" fontId="2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16" fillId="0" borderId="16" xfId="59" applyFont="1" applyBorder="1" applyAlignment="1">
      <alignment horizontal="right"/>
      <protection/>
    </xf>
    <xf numFmtId="0" fontId="2" fillId="0" borderId="11" xfId="59" applyFont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2" fillId="0" borderId="0" xfId="59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styles" Target="styles.xml" /><Relationship Id="rId70" Type="http://schemas.openxmlformats.org/officeDocument/2006/relationships/sharedStrings" Target="sharedStrings.xml" /><Relationship Id="rId71" Type="http://schemas.openxmlformats.org/officeDocument/2006/relationships/externalLink" Target="externalLinks/externalLink1.xml" /><Relationship Id="rId7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152400</xdr:rowOff>
    </xdr:from>
    <xdr:ext cx="9277350" cy="4552950"/>
    <xdr:sp>
      <xdr:nvSpPr>
        <xdr:cNvPr id="1" name="Rectangle 1"/>
        <xdr:cNvSpPr>
          <a:spLocks/>
        </xdr:cNvSpPr>
      </xdr:nvSpPr>
      <xdr:spPr>
        <a:xfrm>
          <a:off x="85725" y="476250"/>
          <a:ext cx="9277350" cy="455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Annual Work Plan &amp; Budget
</a:t>
          </a:r>
          <a:r>
            <a:rPr lang="en-US" cap="none" sz="5400" b="1" i="0" u="none" baseline="0"/>
            <a:t>2018-19
</a:t>
          </a:r>
          <a:r>
            <a:rPr lang="en-US" cap="none" sz="5400" b="1" i="0" u="none" baseline="0"/>
            <a:t>
</a:t>
          </a:r>
          <a:r>
            <a:rPr lang="en-US" cap="none" sz="4400" b="1" i="0" u="none" baseline="0"/>
            <a:t>State/UT</a:t>
          </a:r>
          <a:r>
            <a:rPr lang="en-US" cap="none" sz="4400" b="1" i="0" u="none" baseline="0"/>
            <a:t> _Maharashtra
</a:t>
          </a:r>
          <a:r>
            <a:rPr lang="en-US" cap="none" sz="4400" b="1" i="0" u="none" baseline="0"/>
            <a:t>Date of Submission ________</a:t>
          </a:r>
          <a:r>
            <a:rPr lang="en-US" cap="none" sz="4400" b="1" i="0" u="none" baseline="0"/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47625</xdr:rowOff>
    </xdr:from>
    <xdr:ext cx="5591175" cy="2638425"/>
    <xdr:sp>
      <xdr:nvSpPr>
        <xdr:cNvPr id="1" name="Rectangle 1"/>
        <xdr:cNvSpPr>
          <a:spLocks/>
        </xdr:cNvSpPr>
      </xdr:nvSpPr>
      <xdr:spPr>
        <a:xfrm>
          <a:off x="0" y="533400"/>
          <a:ext cx="5591175" cy="2638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/>
            <a:t>Performance during 
</a:t>
          </a:r>
          <a:r>
            <a:rPr lang="en-US" cap="none" sz="5400" b="1" i="0" u="none" baseline="0"/>
            <a:t>2017-18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Maharashtra-AWPB_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rst-Page"/>
      <sheetName val="Contents"/>
      <sheetName val="Sheet1"/>
      <sheetName val="AT-1-Gen_Info "/>
      <sheetName val="AT-2-S1 BUDGET"/>
      <sheetName val="AT_2A_fundflow"/>
      <sheetName val="AT-3"/>
      <sheetName val="AT3A_cvrg(Insti)_PY"/>
      <sheetName val="AT3B_cvrg(Insti)_UPY "/>
      <sheetName val="AT3C_cvrg(Insti)_UPY "/>
      <sheetName val="enrolment vs availed_PY"/>
      <sheetName val="enrolment vs availed_UPY"/>
      <sheetName val="AT-4B"/>
      <sheetName val="T5_PLAN_vs_PRFM"/>
      <sheetName val="T5A_PLAN_vs_PRFM "/>
      <sheetName val="T5B_PLAN_vs_PRFM  (2)"/>
      <sheetName val="T5C_Drought_PLAN_vs_PRFM "/>
      <sheetName val="T5D_Drought_PLAN_vs_PRFM  "/>
      <sheetName val="T6_FG_py_Utlsn"/>
      <sheetName val="T6A_FG_Upy_Utlsn "/>
      <sheetName val="T6B_Pay_FG_FCI_Pry"/>
      <sheetName val="T6C_Coarse_Grain"/>
      <sheetName val="T7_CC_PY_Utlsn"/>
      <sheetName val="T7ACC_UPY_Utlsn "/>
      <sheetName val="AT-8_Hon_CCH_Pry"/>
      <sheetName val="AT-8A_Hon_CCH_UPry"/>
      <sheetName val="AT9_TA"/>
      <sheetName val="AT10_MME"/>
      <sheetName val="AT10A_"/>
      <sheetName val="AT-10 B"/>
      <sheetName val="AT-10 C"/>
      <sheetName val="AT-10D"/>
      <sheetName val="AT-10 E"/>
      <sheetName val="AT-10 F Drinking Water"/>
      <sheetName val="AT11_KS Year wise"/>
      <sheetName val="AT11A_KS-District wise"/>
      <sheetName val="AT12_KD-New"/>
      <sheetName val="AT12A_KD-Replacement"/>
      <sheetName val="Mode of cooking"/>
      <sheetName val="AT-14"/>
      <sheetName val="AT-14 A"/>
      <sheetName val="AT-15"/>
      <sheetName val="AT-16"/>
      <sheetName val="AT_17_Coverage-RBSK "/>
      <sheetName val="AT18_Details_Community "/>
      <sheetName val="AT_19_Impl_Agency"/>
      <sheetName val="AT_20_CentralCookingagency "/>
      <sheetName val="AT-21"/>
      <sheetName val="AT-22"/>
      <sheetName val="AT-23 MIS"/>
      <sheetName val="AT-23A _AMS"/>
      <sheetName val="AT-24"/>
      <sheetName val="AT-25"/>
      <sheetName val="Sheet1 (2)"/>
      <sheetName val="AT26_NoWD"/>
      <sheetName val="AT26A_NoWD"/>
      <sheetName val="AT27_Req_FG_CA_Pry"/>
      <sheetName val="AT27A_Req_FG_CA_U Pry "/>
      <sheetName val="AT27B_Req_FG_CA_N CLP"/>
      <sheetName val="AT27C_Req_FG_Drought -Pry "/>
      <sheetName val="AT27D_Req_FG_Drought -UPry "/>
      <sheetName val="AT_28_RqmtKitchen"/>
      <sheetName val="AT-28A_RqmtPlinthArea"/>
      <sheetName val="AT29_K_D"/>
      <sheetName val="AT-30_Coook-cum-Helper"/>
      <sheetName val="AT_31_Budget_provision "/>
      <sheetName val="AT32_Drought Pry Util"/>
      <sheetName val="AT-32A Drought UPry Util"/>
      <sheetName val="Primary"/>
      <sheetName val="Upper Primary"/>
      <sheetName val="CCH"/>
      <sheetName val="Grant received"/>
      <sheetName val="Sheet2"/>
      <sheetName val="Plan of MME"/>
    </sheetNames>
    <sheetDataSet>
      <sheetData sheetId="6">
        <row r="9">
          <cell r="F9">
            <v>4538</v>
          </cell>
        </row>
        <row r="10">
          <cell r="F10">
            <v>1430</v>
          </cell>
        </row>
        <row r="11">
          <cell r="F11">
            <v>2401</v>
          </cell>
        </row>
        <row r="12">
          <cell r="F12">
            <v>2981</v>
          </cell>
        </row>
        <row r="13">
          <cell r="F13">
            <v>3224</v>
          </cell>
        </row>
        <row r="14">
          <cell r="F14">
            <v>1132</v>
          </cell>
        </row>
        <row r="15">
          <cell r="F15">
            <v>2013</v>
          </cell>
        </row>
        <row r="16">
          <cell r="F16">
            <v>2035</v>
          </cell>
        </row>
        <row r="17">
          <cell r="F17">
            <v>1682</v>
          </cell>
        </row>
        <row r="18">
          <cell r="F18">
            <v>1799</v>
          </cell>
        </row>
        <row r="19">
          <cell r="F19">
            <v>1374</v>
          </cell>
        </row>
        <row r="20">
          <cell r="F20">
            <v>1032</v>
          </cell>
        </row>
        <row r="21">
          <cell r="F21">
            <v>2748</v>
          </cell>
        </row>
        <row r="22">
          <cell r="F22">
            <v>1923</v>
          </cell>
        </row>
        <row r="23">
          <cell r="F23">
            <v>3061</v>
          </cell>
        </row>
        <row r="24">
          <cell r="F24">
            <v>2137</v>
          </cell>
        </row>
        <row r="25">
          <cell r="F25">
            <v>2389</v>
          </cell>
        </row>
        <row r="26">
          <cell r="F26">
            <v>2849</v>
          </cell>
        </row>
        <row r="27">
          <cell r="F27">
            <v>3021</v>
          </cell>
        </row>
        <row r="28">
          <cell r="F28">
            <v>1705</v>
          </cell>
        </row>
        <row r="29">
          <cell r="F29">
            <v>4449</v>
          </cell>
        </row>
        <row r="30">
          <cell r="F30">
            <v>1548</v>
          </cell>
        </row>
        <row r="31">
          <cell r="F31">
            <v>1583</v>
          </cell>
        </row>
        <row r="32">
          <cell r="F32">
            <v>5432</v>
          </cell>
        </row>
        <row r="33">
          <cell r="F33">
            <v>3208</v>
          </cell>
        </row>
        <row r="34">
          <cell r="F34">
            <v>3076</v>
          </cell>
          <cell r="G34">
            <v>3076</v>
          </cell>
        </row>
        <row r="35">
          <cell r="F35">
            <v>2515</v>
          </cell>
        </row>
        <row r="36">
          <cell r="F36">
            <v>3436</v>
          </cell>
        </row>
        <row r="37">
          <cell r="F37">
            <v>1670</v>
          </cell>
        </row>
        <row r="38">
          <cell r="F38">
            <v>4073</v>
          </cell>
        </row>
        <row r="39">
          <cell r="F39">
            <v>2785</v>
          </cell>
        </row>
        <row r="40">
          <cell r="F40">
            <v>2393</v>
          </cell>
        </row>
        <row r="41">
          <cell r="F41">
            <v>1246</v>
          </cell>
        </row>
        <row r="42">
          <cell r="F42">
            <v>1110</v>
          </cell>
          <cell r="G42">
            <v>1110</v>
          </cell>
        </row>
        <row r="43">
          <cell r="F43">
            <v>2782</v>
          </cell>
          <cell r="G43">
            <v>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SheetLayoutView="90" zoomScalePageLayoutView="0" workbookViewId="0" topLeftCell="A1">
      <selection activeCell="A1" sqref="A1"/>
    </sheetView>
  </sheetViews>
  <sheetFormatPr defaultColWidth="9.140625" defaultRowHeight="12.75"/>
  <cols>
    <col min="15" max="15" width="12.421875" style="0" customWidth="1"/>
  </cols>
  <sheetData/>
  <sheetProtection/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zoomScaleSheetLayoutView="80" zoomScalePageLayoutView="0" workbookViewId="0" topLeftCell="A1">
      <pane xSplit="2" ySplit="10" topLeftCell="C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6" sqref="C56:N58"/>
    </sheetView>
  </sheetViews>
  <sheetFormatPr defaultColWidth="9.140625" defaultRowHeight="12.75"/>
  <cols>
    <col min="2" max="2" width="15.421875" style="0" bestFit="1" customWidth="1"/>
    <col min="3" max="3" width="11.28125" style="0" customWidth="1"/>
    <col min="5" max="5" width="9.57421875" style="0" customWidth="1"/>
    <col min="6" max="6" width="9.8515625" style="0" customWidth="1"/>
    <col min="7" max="7" width="8.8515625" style="0" customWidth="1"/>
    <col min="8" max="8" width="10.57421875" style="0" customWidth="1"/>
    <col min="9" max="9" width="9.8515625" style="0" customWidth="1"/>
    <col min="11" max="11" width="11.8515625" style="0" customWidth="1"/>
    <col min="12" max="12" width="9.421875" style="0" customWidth="1"/>
    <col min="13" max="13" width="12.00390625" style="0" customWidth="1"/>
    <col min="14" max="14" width="14.140625" style="0" customWidth="1"/>
  </cols>
  <sheetData>
    <row r="1" spans="4:13" ht="12.75" customHeight="1">
      <c r="D1" s="735"/>
      <c r="E1" s="735"/>
      <c r="F1" s="735"/>
      <c r="G1" s="735"/>
      <c r="H1" s="735"/>
      <c r="I1" s="735"/>
      <c r="J1" s="735"/>
      <c r="M1" s="101" t="s">
        <v>264</v>
      </c>
    </row>
    <row r="2" spans="1:14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</row>
    <row r="3" spans="1:14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</row>
    <row r="4" ht="11.25" customHeight="1"/>
    <row r="5" spans="1:14" ht="15.75">
      <c r="A5" s="734" t="s">
        <v>663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</row>
    <row r="7" spans="1:15" ht="12.75">
      <c r="A7" s="736" t="s">
        <v>1004</v>
      </c>
      <c r="B7" s="736"/>
      <c r="C7" s="736"/>
      <c r="L7" s="807" t="s">
        <v>820</v>
      </c>
      <c r="M7" s="807"/>
      <c r="N7" s="807"/>
      <c r="O7" s="108"/>
    </row>
    <row r="8" spans="1:14" ht="15.75" customHeight="1">
      <c r="A8" s="808" t="s">
        <v>2</v>
      </c>
      <c r="B8" s="808" t="s">
        <v>3</v>
      </c>
      <c r="C8" s="711" t="s">
        <v>4</v>
      </c>
      <c r="D8" s="711"/>
      <c r="E8" s="711"/>
      <c r="F8" s="694"/>
      <c r="G8" s="694"/>
      <c r="H8" s="711" t="s">
        <v>102</v>
      </c>
      <c r="I8" s="711"/>
      <c r="J8" s="711"/>
      <c r="K8" s="711"/>
      <c r="L8" s="711"/>
      <c r="M8" s="808" t="s">
        <v>135</v>
      </c>
      <c r="N8" s="709" t="s">
        <v>136</v>
      </c>
    </row>
    <row r="9" spans="1:19" ht="51">
      <c r="A9" s="809"/>
      <c r="B9" s="809"/>
      <c r="C9" s="5" t="s">
        <v>5</v>
      </c>
      <c r="D9" s="5" t="s">
        <v>6</v>
      </c>
      <c r="E9" s="5" t="s">
        <v>369</v>
      </c>
      <c r="F9" s="5" t="s">
        <v>100</v>
      </c>
      <c r="G9" s="5" t="s">
        <v>118</v>
      </c>
      <c r="H9" s="5" t="s">
        <v>5</v>
      </c>
      <c r="I9" s="5" t="s">
        <v>6</v>
      </c>
      <c r="J9" s="5" t="s">
        <v>369</v>
      </c>
      <c r="K9" s="7" t="s">
        <v>100</v>
      </c>
      <c r="L9" s="7" t="s">
        <v>119</v>
      </c>
      <c r="M9" s="809"/>
      <c r="N9" s="709"/>
      <c r="R9" s="9"/>
      <c r="S9" s="13"/>
    </row>
    <row r="10" spans="1:14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3">
        <v>11</v>
      </c>
      <c r="L10" s="107">
        <v>12</v>
      </c>
      <c r="M10" s="107">
        <v>13</v>
      </c>
      <c r="N10" s="3">
        <v>14</v>
      </c>
    </row>
    <row r="11" spans="1:14" ht="12.75">
      <c r="A11" s="8">
        <v>1</v>
      </c>
      <c r="B11" s="328" t="s">
        <v>870</v>
      </c>
      <c r="C11" s="9">
        <v>3</v>
      </c>
      <c r="D11" s="9">
        <v>191</v>
      </c>
      <c r="E11" s="9">
        <v>0</v>
      </c>
      <c r="F11" s="9">
        <v>0</v>
      </c>
      <c r="G11" s="9">
        <f>'AT-3'!D9</f>
        <v>194</v>
      </c>
      <c r="H11" s="9">
        <v>3</v>
      </c>
      <c r="I11" s="9">
        <v>191</v>
      </c>
      <c r="J11" s="9">
        <v>0</v>
      </c>
      <c r="K11" s="9">
        <v>0</v>
      </c>
      <c r="L11" s="9">
        <f>H11+I11+J11+K11</f>
        <v>194</v>
      </c>
      <c r="M11" s="9">
        <f>G11-L11</f>
        <v>0</v>
      </c>
      <c r="N11" s="9"/>
    </row>
    <row r="12" spans="1:14" ht="12.75">
      <c r="A12" s="8">
        <v>2</v>
      </c>
      <c r="B12" s="328" t="s">
        <v>871</v>
      </c>
      <c r="C12" s="9">
        <v>1</v>
      </c>
      <c r="D12" s="9">
        <v>110</v>
      </c>
      <c r="E12" s="9">
        <v>0</v>
      </c>
      <c r="F12" s="9">
        <v>0</v>
      </c>
      <c r="G12" s="9">
        <f>'AT-3'!D10</f>
        <v>111</v>
      </c>
      <c r="H12" s="9">
        <v>1</v>
      </c>
      <c r="I12" s="9">
        <v>110</v>
      </c>
      <c r="J12" s="9">
        <v>0</v>
      </c>
      <c r="K12" s="9">
        <v>0</v>
      </c>
      <c r="L12" s="9">
        <f aca="true" t="shared" si="0" ref="L12:L45">H12+I12+J12+K12</f>
        <v>111</v>
      </c>
      <c r="M12" s="9">
        <f aca="true" t="shared" si="1" ref="M12:M45">G12-L12</f>
        <v>0</v>
      </c>
      <c r="N12" s="9"/>
    </row>
    <row r="13" spans="1:14" ht="12.75">
      <c r="A13" s="8">
        <v>3</v>
      </c>
      <c r="B13" s="328" t="s">
        <v>872</v>
      </c>
      <c r="C13" s="9">
        <v>8</v>
      </c>
      <c r="D13" s="9">
        <v>169</v>
      </c>
      <c r="E13" s="9">
        <v>0</v>
      </c>
      <c r="F13" s="9">
        <v>0</v>
      </c>
      <c r="G13" s="9">
        <f>'AT-3'!D11</f>
        <v>177</v>
      </c>
      <c r="H13" s="9">
        <v>8</v>
      </c>
      <c r="I13" s="9">
        <v>169</v>
      </c>
      <c r="J13" s="9">
        <v>0</v>
      </c>
      <c r="K13" s="9">
        <v>0</v>
      </c>
      <c r="L13" s="9">
        <f t="shared" si="0"/>
        <v>177</v>
      </c>
      <c r="M13" s="9">
        <f t="shared" si="1"/>
        <v>0</v>
      </c>
      <c r="N13" s="9"/>
    </row>
    <row r="14" spans="1:14" ht="12.75">
      <c r="A14" s="8">
        <v>4</v>
      </c>
      <c r="B14" s="328" t="s">
        <v>873</v>
      </c>
      <c r="C14" s="9">
        <v>0</v>
      </c>
      <c r="D14" s="9">
        <v>233</v>
      </c>
      <c r="E14" s="9">
        <v>0</v>
      </c>
      <c r="F14" s="9">
        <v>0</v>
      </c>
      <c r="G14" s="9">
        <f>'AT-3'!D12</f>
        <v>233</v>
      </c>
      <c r="H14" s="9">
        <v>0</v>
      </c>
      <c r="I14" s="9">
        <v>233</v>
      </c>
      <c r="J14" s="9">
        <v>0</v>
      </c>
      <c r="K14" s="20">
        <v>0</v>
      </c>
      <c r="L14" s="9">
        <f t="shared" si="0"/>
        <v>233</v>
      </c>
      <c r="M14" s="9">
        <f t="shared" si="1"/>
        <v>0</v>
      </c>
      <c r="N14" s="9"/>
    </row>
    <row r="15" spans="1:14" ht="12.75">
      <c r="A15" s="8">
        <v>5</v>
      </c>
      <c r="B15" s="328" t="s">
        <v>874</v>
      </c>
      <c r="C15" s="9">
        <v>8</v>
      </c>
      <c r="D15" s="9">
        <v>138</v>
      </c>
      <c r="E15" s="9">
        <v>0</v>
      </c>
      <c r="F15" s="9">
        <v>0</v>
      </c>
      <c r="G15" s="9">
        <f>'AT-3'!D13</f>
        <v>146</v>
      </c>
      <c r="H15" s="9">
        <v>8</v>
      </c>
      <c r="I15" s="9">
        <v>138</v>
      </c>
      <c r="J15" s="9">
        <v>0</v>
      </c>
      <c r="K15" s="9">
        <v>0</v>
      </c>
      <c r="L15" s="9">
        <f t="shared" si="0"/>
        <v>146</v>
      </c>
      <c r="M15" s="9">
        <f t="shared" si="1"/>
        <v>0</v>
      </c>
      <c r="N15" s="9"/>
    </row>
    <row r="16" spans="1:14" ht="12.75">
      <c r="A16" s="8">
        <v>6</v>
      </c>
      <c r="B16" s="328" t="s">
        <v>875</v>
      </c>
      <c r="C16" s="9">
        <v>2</v>
      </c>
      <c r="D16" s="9">
        <v>59</v>
      </c>
      <c r="E16" s="9">
        <v>0</v>
      </c>
      <c r="F16" s="9">
        <v>0</v>
      </c>
      <c r="G16" s="9">
        <f>'AT-3'!D14</f>
        <v>61</v>
      </c>
      <c r="H16" s="9">
        <v>2</v>
      </c>
      <c r="I16" s="9">
        <v>59</v>
      </c>
      <c r="J16" s="9">
        <v>0</v>
      </c>
      <c r="K16" s="9">
        <v>0</v>
      </c>
      <c r="L16" s="9">
        <f t="shared" si="0"/>
        <v>61</v>
      </c>
      <c r="M16" s="9">
        <f t="shared" si="1"/>
        <v>0</v>
      </c>
      <c r="N16" s="9"/>
    </row>
    <row r="17" spans="1:14" ht="12.75">
      <c r="A17" s="8">
        <v>7</v>
      </c>
      <c r="B17" s="328" t="s">
        <v>876</v>
      </c>
      <c r="C17" s="9">
        <v>10</v>
      </c>
      <c r="D17" s="9">
        <v>100</v>
      </c>
      <c r="E17" s="9">
        <v>0</v>
      </c>
      <c r="F17" s="9">
        <v>0</v>
      </c>
      <c r="G17" s="9">
        <f>'AT-3'!D15</f>
        <v>110</v>
      </c>
      <c r="H17" s="9">
        <v>10</v>
      </c>
      <c r="I17" s="9">
        <v>100</v>
      </c>
      <c r="J17" s="9">
        <v>0</v>
      </c>
      <c r="K17" s="9">
        <v>0</v>
      </c>
      <c r="L17" s="9">
        <f t="shared" si="0"/>
        <v>110</v>
      </c>
      <c r="M17" s="9">
        <f t="shared" si="1"/>
        <v>0</v>
      </c>
      <c r="N17" s="9"/>
    </row>
    <row r="18" spans="1:14" ht="12.75">
      <c r="A18" s="8">
        <v>8</v>
      </c>
      <c r="B18" s="328" t="s">
        <v>877</v>
      </c>
      <c r="C18" s="9">
        <v>9</v>
      </c>
      <c r="D18" s="9">
        <v>117</v>
      </c>
      <c r="E18" s="9">
        <v>0</v>
      </c>
      <c r="F18" s="9">
        <v>0</v>
      </c>
      <c r="G18" s="9">
        <f>'AT-3'!D16</f>
        <v>126</v>
      </c>
      <c r="H18" s="9">
        <v>9</v>
      </c>
      <c r="I18" s="9">
        <v>117</v>
      </c>
      <c r="J18" s="9">
        <v>0</v>
      </c>
      <c r="K18" s="9">
        <v>0</v>
      </c>
      <c r="L18" s="9">
        <f t="shared" si="0"/>
        <v>126</v>
      </c>
      <c r="M18" s="9">
        <f t="shared" si="1"/>
        <v>0</v>
      </c>
      <c r="N18" s="9"/>
    </row>
    <row r="19" spans="1:14" ht="12.75">
      <c r="A19" s="8">
        <v>9</v>
      </c>
      <c r="B19" s="328" t="s">
        <v>878</v>
      </c>
      <c r="C19" s="9">
        <v>0</v>
      </c>
      <c r="D19" s="9">
        <v>26</v>
      </c>
      <c r="E19" s="9"/>
      <c r="F19" s="9"/>
      <c r="G19" s="9">
        <f>'AT-3'!D17</f>
        <v>26</v>
      </c>
      <c r="H19" s="9">
        <v>0</v>
      </c>
      <c r="I19" s="9">
        <v>26</v>
      </c>
      <c r="J19" s="9"/>
      <c r="K19" s="9"/>
      <c r="L19" s="9">
        <f t="shared" si="0"/>
        <v>26</v>
      </c>
      <c r="M19" s="9">
        <f t="shared" si="1"/>
        <v>0</v>
      </c>
      <c r="N19" s="9"/>
    </row>
    <row r="20" spans="1:14" ht="12.75">
      <c r="A20" s="8">
        <v>10</v>
      </c>
      <c r="B20" s="328" t="s">
        <v>879</v>
      </c>
      <c r="C20" s="9">
        <v>8</v>
      </c>
      <c r="D20" s="9">
        <v>83</v>
      </c>
      <c r="E20" s="9">
        <v>0</v>
      </c>
      <c r="F20" s="9">
        <v>0</v>
      </c>
      <c r="G20" s="9">
        <f>'AT-3'!D18</f>
        <v>91</v>
      </c>
      <c r="H20" s="9">
        <v>8</v>
      </c>
      <c r="I20" s="9">
        <v>83</v>
      </c>
      <c r="J20" s="9">
        <v>0</v>
      </c>
      <c r="K20" s="9">
        <v>0</v>
      </c>
      <c r="L20" s="9">
        <f t="shared" si="0"/>
        <v>91</v>
      </c>
      <c r="M20" s="9">
        <f t="shared" si="1"/>
        <v>0</v>
      </c>
      <c r="N20" s="9"/>
    </row>
    <row r="21" spans="1:14" ht="12.75">
      <c r="A21" s="8">
        <v>11</v>
      </c>
      <c r="B21" s="328" t="s">
        <v>880</v>
      </c>
      <c r="C21" s="9">
        <v>1</v>
      </c>
      <c r="D21" s="9">
        <v>93</v>
      </c>
      <c r="E21" s="9">
        <v>0</v>
      </c>
      <c r="F21" s="9">
        <v>0</v>
      </c>
      <c r="G21" s="9">
        <f>'AT-3'!D19</f>
        <v>94</v>
      </c>
      <c r="H21" s="9">
        <v>1</v>
      </c>
      <c r="I21" s="9">
        <v>93</v>
      </c>
      <c r="J21" s="9">
        <v>0</v>
      </c>
      <c r="K21" s="9">
        <v>0</v>
      </c>
      <c r="L21" s="9">
        <f t="shared" si="0"/>
        <v>94</v>
      </c>
      <c r="M21" s="9">
        <f t="shared" si="1"/>
        <v>0</v>
      </c>
      <c r="N21" s="9"/>
    </row>
    <row r="22" spans="1:14" ht="12.75">
      <c r="A22" s="8">
        <v>12</v>
      </c>
      <c r="B22" s="328" t="s">
        <v>881</v>
      </c>
      <c r="C22" s="9">
        <v>1</v>
      </c>
      <c r="D22" s="9">
        <v>32</v>
      </c>
      <c r="E22" s="9">
        <v>0</v>
      </c>
      <c r="F22" s="9">
        <v>0</v>
      </c>
      <c r="G22" s="9">
        <f>'AT-3'!D20</f>
        <v>33</v>
      </c>
      <c r="H22" s="9">
        <v>1</v>
      </c>
      <c r="I22" s="155">
        <v>32</v>
      </c>
      <c r="J22" s="9">
        <v>0</v>
      </c>
      <c r="K22" s="9">
        <v>0</v>
      </c>
      <c r="L22" s="9">
        <f t="shared" si="0"/>
        <v>33</v>
      </c>
      <c r="M22" s="9">
        <f t="shared" si="1"/>
        <v>0</v>
      </c>
      <c r="N22" s="9"/>
    </row>
    <row r="23" spans="1:14" ht="12.75">
      <c r="A23" s="8">
        <v>13</v>
      </c>
      <c r="B23" s="328" t="s">
        <v>882</v>
      </c>
      <c r="C23" s="9">
        <v>0</v>
      </c>
      <c r="D23" s="9">
        <v>84</v>
      </c>
      <c r="E23" s="9">
        <v>0</v>
      </c>
      <c r="F23" s="9">
        <v>0</v>
      </c>
      <c r="G23" s="9">
        <f>'AT-3'!D21</f>
        <v>84</v>
      </c>
      <c r="H23" s="9">
        <v>0</v>
      </c>
      <c r="I23" s="155">
        <v>84</v>
      </c>
      <c r="J23" s="9">
        <v>0</v>
      </c>
      <c r="K23" s="9">
        <v>0</v>
      </c>
      <c r="L23" s="9">
        <f t="shared" si="0"/>
        <v>84</v>
      </c>
      <c r="M23" s="9">
        <f t="shared" si="1"/>
        <v>0</v>
      </c>
      <c r="N23" s="9"/>
    </row>
    <row r="24" spans="1:14" ht="12.75">
      <c r="A24" s="8">
        <v>14</v>
      </c>
      <c r="B24" s="328" t="s">
        <v>883</v>
      </c>
      <c r="C24" s="9">
        <v>1</v>
      </c>
      <c r="D24" s="9">
        <v>76</v>
      </c>
      <c r="E24" s="9">
        <v>0</v>
      </c>
      <c r="F24" s="9">
        <v>0</v>
      </c>
      <c r="G24" s="9">
        <f>'AT-3'!D22</f>
        <v>77</v>
      </c>
      <c r="H24" s="9">
        <v>1</v>
      </c>
      <c r="I24" s="155">
        <v>76</v>
      </c>
      <c r="J24" s="9">
        <v>0</v>
      </c>
      <c r="K24" s="9">
        <v>0</v>
      </c>
      <c r="L24" s="9">
        <f t="shared" si="0"/>
        <v>77</v>
      </c>
      <c r="M24" s="9">
        <f t="shared" si="1"/>
        <v>0</v>
      </c>
      <c r="N24" s="9"/>
    </row>
    <row r="25" spans="1:14" ht="12.75">
      <c r="A25" s="8">
        <v>15</v>
      </c>
      <c r="B25" s="328" t="s">
        <v>884</v>
      </c>
      <c r="C25" s="9">
        <v>2</v>
      </c>
      <c r="D25" s="9">
        <v>326</v>
      </c>
      <c r="E25" s="9">
        <v>0</v>
      </c>
      <c r="F25" s="9">
        <v>0</v>
      </c>
      <c r="G25" s="9">
        <f>'AT-3'!D23</f>
        <v>328</v>
      </c>
      <c r="H25" s="9">
        <v>2</v>
      </c>
      <c r="I25" s="155">
        <v>326</v>
      </c>
      <c r="J25" s="9">
        <v>0</v>
      </c>
      <c r="K25" s="9">
        <v>0</v>
      </c>
      <c r="L25" s="9">
        <f t="shared" si="0"/>
        <v>328</v>
      </c>
      <c r="M25" s="9">
        <f t="shared" si="1"/>
        <v>0</v>
      </c>
      <c r="N25" s="9"/>
    </row>
    <row r="26" spans="1:14" ht="12.75">
      <c r="A26" s="8">
        <v>16</v>
      </c>
      <c r="B26" s="328" t="s">
        <v>885</v>
      </c>
      <c r="C26" s="9">
        <v>4</v>
      </c>
      <c r="D26" s="9">
        <v>191</v>
      </c>
      <c r="E26" s="9">
        <v>0</v>
      </c>
      <c r="F26" s="9">
        <v>0</v>
      </c>
      <c r="G26" s="9">
        <f>'AT-3'!D24</f>
        <v>195</v>
      </c>
      <c r="H26" s="9">
        <v>4</v>
      </c>
      <c r="I26" s="155">
        <v>191</v>
      </c>
      <c r="J26" s="9">
        <v>0</v>
      </c>
      <c r="K26" s="9">
        <v>0</v>
      </c>
      <c r="L26" s="9">
        <f t="shared" si="0"/>
        <v>195</v>
      </c>
      <c r="M26" s="9">
        <f t="shared" si="1"/>
        <v>0</v>
      </c>
      <c r="N26" s="9"/>
    </row>
    <row r="27" spans="1:14" ht="12.75">
      <c r="A27" s="8">
        <v>17</v>
      </c>
      <c r="B27" s="328" t="s">
        <v>886</v>
      </c>
      <c r="C27" s="9">
        <v>118</v>
      </c>
      <c r="D27" s="9">
        <v>129</v>
      </c>
      <c r="E27" s="9">
        <v>0</v>
      </c>
      <c r="F27" s="9">
        <v>0</v>
      </c>
      <c r="G27" s="9">
        <f>'AT-3'!D25</f>
        <v>247</v>
      </c>
      <c r="H27" s="9">
        <v>118</v>
      </c>
      <c r="I27" s="155">
        <v>39</v>
      </c>
      <c r="J27" s="9">
        <v>0</v>
      </c>
      <c r="K27" s="9">
        <v>0</v>
      </c>
      <c r="L27" s="9">
        <f t="shared" si="0"/>
        <v>157</v>
      </c>
      <c r="M27" s="9">
        <f t="shared" si="1"/>
        <v>90</v>
      </c>
      <c r="N27" s="9" t="s">
        <v>1017</v>
      </c>
    </row>
    <row r="28" spans="1:14" ht="12.75">
      <c r="A28" s="8">
        <v>18</v>
      </c>
      <c r="B28" s="328" t="s">
        <v>887</v>
      </c>
      <c r="C28" s="9">
        <v>14</v>
      </c>
      <c r="D28" s="9">
        <v>118</v>
      </c>
      <c r="E28" s="9">
        <v>0</v>
      </c>
      <c r="F28" s="9">
        <v>0</v>
      </c>
      <c r="G28" s="9">
        <f>'AT-3'!D26</f>
        <v>132</v>
      </c>
      <c r="H28" s="9">
        <v>14</v>
      </c>
      <c r="I28" s="155">
        <v>118</v>
      </c>
      <c r="J28" s="9">
        <v>0</v>
      </c>
      <c r="K28" s="9">
        <v>0</v>
      </c>
      <c r="L28" s="9">
        <f t="shared" si="0"/>
        <v>132</v>
      </c>
      <c r="M28" s="9">
        <f t="shared" si="1"/>
        <v>0</v>
      </c>
      <c r="N28" s="9"/>
    </row>
    <row r="29" spans="1:14" ht="12.75">
      <c r="A29" s="8">
        <v>19</v>
      </c>
      <c r="B29" s="328" t="s">
        <v>888</v>
      </c>
      <c r="C29" s="9">
        <v>14</v>
      </c>
      <c r="D29" s="9">
        <v>99</v>
      </c>
      <c r="E29" s="9">
        <v>0</v>
      </c>
      <c r="F29" s="9">
        <v>0</v>
      </c>
      <c r="G29" s="9">
        <f>'AT-3'!D27</f>
        <v>113</v>
      </c>
      <c r="H29" s="9">
        <v>14</v>
      </c>
      <c r="I29" s="155">
        <v>99</v>
      </c>
      <c r="J29" s="9">
        <v>0</v>
      </c>
      <c r="K29" s="9">
        <v>0</v>
      </c>
      <c r="L29" s="9">
        <f t="shared" si="0"/>
        <v>113</v>
      </c>
      <c r="M29" s="9">
        <f t="shared" si="1"/>
        <v>0</v>
      </c>
      <c r="N29" s="9"/>
    </row>
    <row r="30" spans="1:14" ht="12.75">
      <c r="A30" s="8">
        <v>20</v>
      </c>
      <c r="B30" s="328" t="s">
        <v>889</v>
      </c>
      <c r="C30" s="9">
        <v>0</v>
      </c>
      <c r="D30" s="9">
        <v>15</v>
      </c>
      <c r="E30" s="9">
        <v>0</v>
      </c>
      <c r="F30" s="9">
        <v>0</v>
      </c>
      <c r="G30" s="9">
        <f>'AT-3'!D28</f>
        <v>15</v>
      </c>
      <c r="H30" s="9">
        <v>0</v>
      </c>
      <c r="I30" s="155">
        <v>15</v>
      </c>
      <c r="J30" s="9">
        <v>0</v>
      </c>
      <c r="K30" s="9">
        <v>0</v>
      </c>
      <c r="L30" s="9">
        <f t="shared" si="0"/>
        <v>15</v>
      </c>
      <c r="M30" s="9">
        <f t="shared" si="1"/>
        <v>0</v>
      </c>
      <c r="N30" s="9"/>
    </row>
    <row r="31" spans="1:14" ht="12.75">
      <c r="A31" s="8">
        <v>21</v>
      </c>
      <c r="B31" s="328" t="s">
        <v>890</v>
      </c>
      <c r="C31" s="9">
        <v>7</v>
      </c>
      <c r="D31" s="9">
        <v>181</v>
      </c>
      <c r="E31" s="9">
        <v>0</v>
      </c>
      <c r="F31" s="9">
        <v>0</v>
      </c>
      <c r="G31" s="9">
        <f>'AT-3'!D29</f>
        <v>188</v>
      </c>
      <c r="H31" s="9">
        <v>7</v>
      </c>
      <c r="I31" s="155">
        <v>181</v>
      </c>
      <c r="J31" s="9">
        <v>0</v>
      </c>
      <c r="K31" s="9">
        <v>0</v>
      </c>
      <c r="L31" s="9">
        <f t="shared" si="0"/>
        <v>188</v>
      </c>
      <c r="M31" s="9">
        <f t="shared" si="1"/>
        <v>0</v>
      </c>
      <c r="N31" s="9"/>
    </row>
    <row r="32" spans="1:14" ht="12.75">
      <c r="A32" s="8">
        <v>22</v>
      </c>
      <c r="B32" s="328" t="s">
        <v>891</v>
      </c>
      <c r="C32" s="9">
        <v>11</v>
      </c>
      <c r="D32" s="9">
        <v>134</v>
      </c>
      <c r="E32" s="9">
        <v>0</v>
      </c>
      <c r="F32" s="9">
        <v>0</v>
      </c>
      <c r="G32" s="9">
        <f>'AT-3'!D30</f>
        <v>145</v>
      </c>
      <c r="H32" s="9">
        <v>11</v>
      </c>
      <c r="I32" s="155">
        <v>134</v>
      </c>
      <c r="J32" s="9">
        <v>0</v>
      </c>
      <c r="K32" s="9">
        <v>0</v>
      </c>
      <c r="L32" s="9">
        <f t="shared" si="0"/>
        <v>145</v>
      </c>
      <c r="M32" s="9">
        <f t="shared" si="1"/>
        <v>0</v>
      </c>
      <c r="N32" s="9"/>
    </row>
    <row r="33" spans="1:14" ht="12.75">
      <c r="A33" s="8">
        <v>23</v>
      </c>
      <c r="B33" s="328" t="s">
        <v>892</v>
      </c>
      <c r="C33" s="9">
        <v>8</v>
      </c>
      <c r="D33" s="9">
        <v>89</v>
      </c>
      <c r="E33" s="9">
        <v>1</v>
      </c>
      <c r="F33" s="9">
        <v>0</v>
      </c>
      <c r="G33" s="9">
        <f>'AT-3'!D31</f>
        <v>98</v>
      </c>
      <c r="H33" s="9">
        <v>8</v>
      </c>
      <c r="I33" s="155">
        <v>89</v>
      </c>
      <c r="J33" s="9">
        <v>1</v>
      </c>
      <c r="K33" s="9">
        <v>0</v>
      </c>
      <c r="L33" s="9">
        <f t="shared" si="0"/>
        <v>98</v>
      </c>
      <c r="M33" s="9">
        <f t="shared" si="1"/>
        <v>0</v>
      </c>
      <c r="N33" s="9"/>
    </row>
    <row r="34" spans="1:14" ht="12.75">
      <c r="A34" s="8">
        <v>24</v>
      </c>
      <c r="B34" s="328" t="s">
        <v>893</v>
      </c>
      <c r="C34" s="9">
        <v>32</v>
      </c>
      <c r="D34" s="9">
        <v>252</v>
      </c>
      <c r="E34" s="9">
        <v>0</v>
      </c>
      <c r="F34" s="9">
        <v>0</v>
      </c>
      <c r="G34" s="9">
        <f>'AT-3'!D32</f>
        <v>284</v>
      </c>
      <c r="H34" s="9">
        <v>32</v>
      </c>
      <c r="I34" s="155">
        <v>252</v>
      </c>
      <c r="J34" s="9">
        <v>0</v>
      </c>
      <c r="K34" s="9">
        <v>0</v>
      </c>
      <c r="L34" s="9">
        <f t="shared" si="0"/>
        <v>284</v>
      </c>
      <c r="M34" s="9">
        <f t="shared" si="1"/>
        <v>0</v>
      </c>
      <c r="N34" s="9"/>
    </row>
    <row r="35" spans="1:14" ht="12.75">
      <c r="A35" s="8">
        <v>25</v>
      </c>
      <c r="B35" s="328" t="s">
        <v>894</v>
      </c>
      <c r="C35" s="9">
        <v>0</v>
      </c>
      <c r="D35" s="9">
        <v>72</v>
      </c>
      <c r="E35" s="9">
        <v>0</v>
      </c>
      <c r="F35" s="9">
        <v>0</v>
      </c>
      <c r="G35" s="9">
        <f>'AT-3'!D33</f>
        <v>72</v>
      </c>
      <c r="H35" s="9">
        <v>0</v>
      </c>
      <c r="I35" s="155">
        <v>72</v>
      </c>
      <c r="J35" s="9">
        <v>0</v>
      </c>
      <c r="K35" s="9">
        <v>0</v>
      </c>
      <c r="L35" s="9">
        <f t="shared" si="0"/>
        <v>72</v>
      </c>
      <c r="M35" s="9">
        <f t="shared" si="1"/>
        <v>0</v>
      </c>
      <c r="N35" s="9"/>
    </row>
    <row r="36" spans="1:14" ht="12.75">
      <c r="A36" s="8">
        <v>26</v>
      </c>
      <c r="B36" s="328" t="s">
        <v>895</v>
      </c>
      <c r="C36" s="9">
        <v>0</v>
      </c>
      <c r="D36" s="9">
        <v>157</v>
      </c>
      <c r="E36" s="9">
        <v>0</v>
      </c>
      <c r="F36" s="9">
        <v>0</v>
      </c>
      <c r="G36" s="9">
        <f>'AT-3'!D34</f>
        <v>157</v>
      </c>
      <c r="H36" s="9">
        <v>0</v>
      </c>
      <c r="I36" s="155">
        <v>157</v>
      </c>
      <c r="J36" s="9">
        <v>0</v>
      </c>
      <c r="K36" s="9">
        <v>0</v>
      </c>
      <c r="L36" s="9">
        <f t="shared" si="0"/>
        <v>157</v>
      </c>
      <c r="M36" s="9">
        <f t="shared" si="1"/>
        <v>0</v>
      </c>
      <c r="N36" s="9"/>
    </row>
    <row r="37" spans="1:14" ht="12.75">
      <c r="A37" s="8">
        <v>27</v>
      </c>
      <c r="B37" s="328" t="s">
        <v>896</v>
      </c>
      <c r="C37" s="9">
        <v>0</v>
      </c>
      <c r="D37" s="9">
        <v>126</v>
      </c>
      <c r="E37" s="9">
        <v>0</v>
      </c>
      <c r="F37" s="9">
        <v>0</v>
      </c>
      <c r="G37" s="9">
        <f>'AT-3'!D35</f>
        <v>126</v>
      </c>
      <c r="H37" s="9">
        <v>0</v>
      </c>
      <c r="I37" s="155">
        <v>126</v>
      </c>
      <c r="J37" s="9">
        <v>0</v>
      </c>
      <c r="K37" s="9">
        <v>0</v>
      </c>
      <c r="L37" s="9">
        <f t="shared" si="0"/>
        <v>126</v>
      </c>
      <c r="M37" s="9">
        <f t="shared" si="1"/>
        <v>0</v>
      </c>
      <c r="N37" s="9"/>
    </row>
    <row r="38" spans="1:14" ht="12.75">
      <c r="A38" s="8">
        <v>28</v>
      </c>
      <c r="B38" s="328" t="s">
        <v>897</v>
      </c>
      <c r="C38" s="9">
        <v>27</v>
      </c>
      <c r="D38" s="9">
        <v>164</v>
      </c>
      <c r="E38" s="9">
        <v>0</v>
      </c>
      <c r="F38" s="9">
        <v>0</v>
      </c>
      <c r="G38" s="9">
        <f>'AT-3'!D36</f>
        <v>191</v>
      </c>
      <c r="H38" s="9">
        <v>27</v>
      </c>
      <c r="I38" s="155">
        <v>164</v>
      </c>
      <c r="J38" s="9">
        <v>0</v>
      </c>
      <c r="K38" s="9">
        <v>0</v>
      </c>
      <c r="L38" s="9">
        <f t="shared" si="0"/>
        <v>191</v>
      </c>
      <c r="M38" s="9">
        <f t="shared" si="1"/>
        <v>0</v>
      </c>
      <c r="N38" s="9"/>
    </row>
    <row r="39" spans="1:14" ht="12.75">
      <c r="A39" s="8">
        <v>29</v>
      </c>
      <c r="B39" s="328" t="s">
        <v>898</v>
      </c>
      <c r="C39" s="9">
        <v>69</v>
      </c>
      <c r="D39" s="9">
        <v>0</v>
      </c>
      <c r="E39" s="9">
        <v>0</v>
      </c>
      <c r="F39" s="9">
        <v>0</v>
      </c>
      <c r="G39" s="9">
        <f>'AT-3'!D37</f>
        <v>69</v>
      </c>
      <c r="H39" s="9">
        <v>69</v>
      </c>
      <c r="I39" s="155">
        <v>0</v>
      </c>
      <c r="J39" s="9">
        <v>0</v>
      </c>
      <c r="K39" s="9">
        <v>0</v>
      </c>
      <c r="L39" s="9">
        <f t="shared" si="0"/>
        <v>69</v>
      </c>
      <c r="M39" s="9">
        <f t="shared" si="1"/>
        <v>0</v>
      </c>
      <c r="N39" s="9"/>
    </row>
    <row r="40" spans="1:14" ht="12.75">
      <c r="A40" s="8">
        <v>30</v>
      </c>
      <c r="B40" s="328" t="s">
        <v>899</v>
      </c>
      <c r="C40" s="9">
        <v>124</v>
      </c>
      <c r="D40" s="9">
        <v>281</v>
      </c>
      <c r="E40" s="9">
        <v>0</v>
      </c>
      <c r="F40" s="9">
        <v>0</v>
      </c>
      <c r="G40" s="9">
        <f>'AT-3'!D38</f>
        <v>405</v>
      </c>
      <c r="H40" s="9">
        <v>124</v>
      </c>
      <c r="I40" s="155">
        <v>281</v>
      </c>
      <c r="J40" s="9">
        <v>0</v>
      </c>
      <c r="K40" s="9">
        <v>0</v>
      </c>
      <c r="L40" s="9">
        <f t="shared" si="0"/>
        <v>405</v>
      </c>
      <c r="M40" s="9">
        <f t="shared" si="1"/>
        <v>0</v>
      </c>
      <c r="N40" s="9"/>
    </row>
    <row r="41" spans="1:14" ht="12.75">
      <c r="A41" s="8">
        <v>31</v>
      </c>
      <c r="B41" s="328" t="s">
        <v>900</v>
      </c>
      <c r="C41" s="9">
        <v>11</v>
      </c>
      <c r="D41" s="9">
        <v>226</v>
      </c>
      <c r="E41" s="9">
        <v>0</v>
      </c>
      <c r="F41" s="9">
        <v>0</v>
      </c>
      <c r="G41" s="9">
        <f>'AT-3'!D39</f>
        <v>237</v>
      </c>
      <c r="H41" s="9">
        <v>11</v>
      </c>
      <c r="I41" s="155">
        <v>226</v>
      </c>
      <c r="J41" s="9">
        <v>0</v>
      </c>
      <c r="K41" s="9">
        <v>0</v>
      </c>
      <c r="L41" s="9">
        <f t="shared" si="0"/>
        <v>237</v>
      </c>
      <c r="M41" s="9">
        <f t="shared" si="1"/>
        <v>0</v>
      </c>
      <c r="N41" s="9"/>
    </row>
    <row r="42" spans="1:14" ht="12.75">
      <c r="A42" s="8">
        <v>32</v>
      </c>
      <c r="B42" s="328" t="s">
        <v>901</v>
      </c>
      <c r="C42" s="9">
        <v>0</v>
      </c>
      <c r="D42" s="9">
        <v>42</v>
      </c>
      <c r="E42" s="9">
        <v>0</v>
      </c>
      <c r="F42" s="9">
        <v>0</v>
      </c>
      <c r="G42" s="9">
        <f>'AT-3'!D40</f>
        <v>42</v>
      </c>
      <c r="H42" s="9">
        <v>0</v>
      </c>
      <c r="I42" s="155">
        <v>42</v>
      </c>
      <c r="J42" s="9">
        <v>0</v>
      </c>
      <c r="K42" s="9">
        <v>0</v>
      </c>
      <c r="L42" s="9">
        <f t="shared" si="0"/>
        <v>42</v>
      </c>
      <c r="M42" s="9">
        <f t="shared" si="1"/>
        <v>0</v>
      </c>
      <c r="N42" s="9"/>
    </row>
    <row r="43" spans="1:14" ht="12.75">
      <c r="A43" s="8">
        <v>33</v>
      </c>
      <c r="B43" s="328" t="s">
        <v>902</v>
      </c>
      <c r="C43" s="9">
        <v>53</v>
      </c>
      <c r="D43" s="9">
        <v>0</v>
      </c>
      <c r="E43" s="9">
        <v>0</v>
      </c>
      <c r="F43" s="9">
        <v>0</v>
      </c>
      <c r="G43" s="9">
        <f>'AT-3'!D41</f>
        <v>53</v>
      </c>
      <c r="H43" s="9">
        <v>53</v>
      </c>
      <c r="I43" s="155">
        <v>0</v>
      </c>
      <c r="J43" s="9">
        <v>0</v>
      </c>
      <c r="K43" s="9">
        <v>0</v>
      </c>
      <c r="L43" s="9">
        <f t="shared" si="0"/>
        <v>53</v>
      </c>
      <c r="M43" s="9">
        <f t="shared" si="1"/>
        <v>0</v>
      </c>
      <c r="N43" s="9"/>
    </row>
    <row r="44" spans="1:14" ht="12.75">
      <c r="A44" s="8">
        <v>34</v>
      </c>
      <c r="B44" s="328" t="s">
        <v>903</v>
      </c>
      <c r="C44" s="9">
        <v>3</v>
      </c>
      <c r="D44" s="9">
        <v>59</v>
      </c>
      <c r="E44" s="9">
        <v>0</v>
      </c>
      <c r="F44" s="9">
        <v>0</v>
      </c>
      <c r="G44" s="9">
        <f>'AT-3'!D42</f>
        <v>62</v>
      </c>
      <c r="H44" s="9">
        <v>3</v>
      </c>
      <c r="I44" s="155">
        <v>59</v>
      </c>
      <c r="J44" s="9">
        <v>0</v>
      </c>
      <c r="K44" s="9">
        <v>0</v>
      </c>
      <c r="L44" s="9">
        <f t="shared" si="0"/>
        <v>62</v>
      </c>
      <c r="M44" s="9">
        <f t="shared" si="1"/>
        <v>0</v>
      </c>
      <c r="N44" s="9"/>
    </row>
    <row r="45" spans="1:14" ht="12.75">
      <c r="A45" s="8">
        <v>35</v>
      </c>
      <c r="B45" s="328" t="s">
        <v>904</v>
      </c>
      <c r="C45" s="9">
        <v>20</v>
      </c>
      <c r="D45" s="9">
        <v>198</v>
      </c>
      <c r="E45" s="9">
        <v>0</v>
      </c>
      <c r="F45" s="9">
        <v>0</v>
      </c>
      <c r="G45" s="9">
        <f>'AT-3'!D43</f>
        <v>218</v>
      </c>
      <c r="H45" s="9">
        <v>20</v>
      </c>
      <c r="I45" s="155">
        <v>198</v>
      </c>
      <c r="J45" s="9">
        <v>0</v>
      </c>
      <c r="K45" s="9">
        <v>0</v>
      </c>
      <c r="L45" s="9">
        <f t="shared" si="0"/>
        <v>218</v>
      </c>
      <c r="M45" s="9">
        <f t="shared" si="1"/>
        <v>0</v>
      </c>
      <c r="N45" s="9"/>
    </row>
    <row r="46" spans="1:14" ht="12.75">
      <c r="A46" s="3" t="s">
        <v>19</v>
      </c>
      <c r="B46" s="9"/>
      <c r="C46" s="9">
        <f>SUM(C11:C45)</f>
        <v>569</v>
      </c>
      <c r="D46" s="9">
        <f aca="true" t="shared" si="2" ref="D46:M46">SUM(D11:D45)</f>
        <v>4370</v>
      </c>
      <c r="E46" s="9">
        <f t="shared" si="2"/>
        <v>1</v>
      </c>
      <c r="F46" s="9">
        <f t="shared" si="2"/>
        <v>0</v>
      </c>
      <c r="G46" s="9">
        <f t="shared" si="2"/>
        <v>4940</v>
      </c>
      <c r="H46" s="9">
        <f t="shared" si="2"/>
        <v>569</v>
      </c>
      <c r="I46" s="9">
        <f t="shared" si="2"/>
        <v>4280</v>
      </c>
      <c r="J46" s="9">
        <f t="shared" si="2"/>
        <v>1</v>
      </c>
      <c r="K46" s="9">
        <f t="shared" si="2"/>
        <v>0</v>
      </c>
      <c r="L46" s="9">
        <f t="shared" si="2"/>
        <v>4850</v>
      </c>
      <c r="M46" s="9">
        <f t="shared" si="2"/>
        <v>90</v>
      </c>
      <c r="N46" s="9"/>
    </row>
    <row r="47" spans="1:14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ht="12.75">
      <c r="A48" s="11" t="s">
        <v>8</v>
      </c>
    </row>
    <row r="49" ht="12.75">
      <c r="A49" t="s">
        <v>9</v>
      </c>
    </row>
    <row r="50" spans="1:14" ht="12.75">
      <c r="A50" t="s">
        <v>10</v>
      </c>
      <c r="K50" s="12" t="s">
        <v>11</v>
      </c>
      <c r="L50" s="12" t="s">
        <v>11</v>
      </c>
      <c r="M50" s="12"/>
      <c r="N50" s="12" t="s">
        <v>11</v>
      </c>
    </row>
    <row r="51" spans="1:12" ht="12.75">
      <c r="A51" s="16" t="s">
        <v>443</v>
      </c>
      <c r="J51" s="12"/>
      <c r="K51" s="12"/>
      <c r="L51" s="12"/>
    </row>
    <row r="52" spans="3:13" ht="12.75">
      <c r="C52" s="16" t="s">
        <v>444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5:14" ht="12.75"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5:14" ht="12.75"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.75" customHeight="1">
      <c r="A55" s="14" t="s">
        <v>12</v>
      </c>
      <c r="B55" s="14"/>
      <c r="C55" s="14"/>
      <c r="D55" s="14"/>
      <c r="E55" s="14"/>
      <c r="F55" s="14"/>
      <c r="G55" s="14"/>
      <c r="H55" s="14"/>
      <c r="K55" s="15"/>
      <c r="L55" s="812"/>
      <c r="M55" s="812"/>
      <c r="N55" s="812"/>
    </row>
    <row r="56" spans="1:14" ht="15.75" customHeight="1">
      <c r="A56" s="398"/>
      <c r="B56" s="398"/>
      <c r="C56" s="748" t="s">
        <v>1021</v>
      </c>
      <c r="D56" s="748"/>
      <c r="E56" s="748"/>
      <c r="F56" s="748"/>
      <c r="G56" s="406"/>
      <c r="H56" s="406"/>
      <c r="I56" s="83"/>
      <c r="J56" s="83"/>
      <c r="K56" s="748" t="s">
        <v>1024</v>
      </c>
      <c r="L56" s="748"/>
      <c r="M56" s="748"/>
      <c r="N56" s="748"/>
    </row>
    <row r="57" spans="1:14" ht="15.75" customHeight="1">
      <c r="A57" s="398"/>
      <c r="B57" s="398"/>
      <c r="C57" s="748" t="s">
        <v>1022</v>
      </c>
      <c r="D57" s="748"/>
      <c r="E57" s="748"/>
      <c r="F57" s="748"/>
      <c r="G57" s="406"/>
      <c r="H57" s="406"/>
      <c r="I57" s="406"/>
      <c r="J57" s="16"/>
      <c r="K57" s="748" t="s">
        <v>1025</v>
      </c>
      <c r="L57" s="748"/>
      <c r="M57" s="748"/>
      <c r="N57" s="748"/>
    </row>
    <row r="58" spans="3:14" ht="12.75">
      <c r="C58" s="735" t="s">
        <v>1023</v>
      </c>
      <c r="D58" s="735"/>
      <c r="E58" s="735"/>
      <c r="F58" s="735"/>
      <c r="G58" s="406"/>
      <c r="H58" s="406"/>
      <c r="I58" s="531"/>
      <c r="J58" s="16"/>
      <c r="K58" s="735" t="s">
        <v>1023</v>
      </c>
      <c r="L58" s="735"/>
      <c r="M58" s="735"/>
      <c r="N58" s="735"/>
    </row>
    <row r="59" spans="1:14" ht="12.75">
      <c r="A59" s="805"/>
      <c r="B59" s="805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</row>
  </sheetData>
  <sheetProtection/>
  <mergeCells count="20">
    <mergeCell ref="A59:N59"/>
    <mergeCell ref="N8:N9"/>
    <mergeCell ref="L55:N55"/>
    <mergeCell ref="A8:A9"/>
    <mergeCell ref="B8:B9"/>
    <mergeCell ref="C8:G8"/>
    <mergeCell ref="H8:L8"/>
    <mergeCell ref="M8:M9"/>
    <mergeCell ref="C56:F56"/>
    <mergeCell ref="K56:N56"/>
    <mergeCell ref="C57:F57"/>
    <mergeCell ref="K57:N57"/>
    <mergeCell ref="C58:F58"/>
    <mergeCell ref="K58:N58"/>
    <mergeCell ref="D1:J1"/>
    <mergeCell ref="A2:N2"/>
    <mergeCell ref="A3:N3"/>
    <mergeCell ref="A5:N5"/>
    <mergeCell ref="L7:N7"/>
    <mergeCell ref="A7:C7"/>
  </mergeCells>
  <printOptions horizontalCentered="1"/>
  <pageMargins left="0.7086614173228347" right="0.7086614173228347" top="0.2362204724409449" bottom="0" header="0.31496062992125984" footer="0.2"/>
  <pageSetup fitToHeight="1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view="pageBreakPreview" zoomScale="80" zoomScaleSheetLayoutView="80" zoomScalePageLayoutView="0" workbookViewId="0" topLeftCell="A5">
      <pane xSplit="2" ySplit="6" topLeftCell="F11" activePane="bottomRight" state="frozen"/>
      <selection pane="topLeft" activeCell="A5" sqref="A5"/>
      <selection pane="topRight" activeCell="C5" sqref="C5"/>
      <selection pane="bottomLeft" activeCell="A11" sqref="A11"/>
      <selection pane="bottomRight" activeCell="A51" sqref="A51:IV51"/>
    </sheetView>
  </sheetViews>
  <sheetFormatPr defaultColWidth="9.140625" defaultRowHeight="12.75"/>
  <cols>
    <col min="1" max="1" width="7.140625" style="16" customWidth="1"/>
    <col min="2" max="2" width="15.421875" style="16" bestFit="1" customWidth="1"/>
    <col min="3" max="3" width="10.28125" style="16" customWidth="1"/>
    <col min="4" max="4" width="10.28125" style="16" bestFit="1" customWidth="1"/>
    <col min="5" max="5" width="10.421875" style="16" bestFit="1" customWidth="1"/>
    <col min="6" max="6" width="10.7109375" style="16" bestFit="1" customWidth="1"/>
    <col min="7" max="7" width="11.57421875" style="16" bestFit="1" customWidth="1"/>
    <col min="8" max="8" width="15.57421875" style="406" bestFit="1" customWidth="1"/>
    <col min="9" max="9" width="16.28125" style="406" bestFit="1" customWidth="1"/>
    <col min="10" max="10" width="10.421875" style="406" bestFit="1" customWidth="1"/>
    <col min="11" max="11" width="11.421875" style="406" bestFit="1" customWidth="1"/>
    <col min="12" max="12" width="15.57421875" style="406" bestFit="1" customWidth="1"/>
    <col min="13" max="13" width="13.00390625" style="16" bestFit="1" customWidth="1"/>
    <col min="14" max="14" width="12.8515625" style="16" bestFit="1" customWidth="1"/>
    <col min="15" max="15" width="10.421875" style="16" bestFit="1" customWidth="1"/>
    <col min="16" max="16" width="10.7109375" style="16" bestFit="1" customWidth="1"/>
    <col min="17" max="17" width="16.57421875" style="16" customWidth="1"/>
    <col min="18" max="18" width="3.00390625" style="16" bestFit="1" customWidth="1"/>
    <col min="19" max="19" width="12.00390625" style="16" customWidth="1"/>
    <col min="20" max="20" width="10.421875" style="16" customWidth="1"/>
    <col min="21" max="21" width="12.00390625" style="16" customWidth="1"/>
    <col min="22" max="16384" width="9.140625" style="16" customWidth="1"/>
  </cols>
  <sheetData>
    <row r="1" spans="1:17" ht="12.75" customHeight="1">
      <c r="A1" s="350"/>
      <c r="B1" s="350"/>
      <c r="C1" s="350"/>
      <c r="D1" s="350"/>
      <c r="E1" s="350"/>
      <c r="F1" s="350"/>
      <c r="G1" s="350"/>
      <c r="H1" s="481"/>
      <c r="I1" s="481"/>
      <c r="J1" s="481"/>
      <c r="K1" s="481"/>
      <c r="L1" s="481"/>
      <c r="M1" s="350"/>
      <c r="N1" s="350"/>
      <c r="O1" s="814" t="s">
        <v>60</v>
      </c>
      <c r="P1" s="814"/>
      <c r="Q1" s="814"/>
    </row>
    <row r="2" spans="1:17" ht="16.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482"/>
      <c r="N2" s="482"/>
      <c r="O2" s="482"/>
      <c r="P2" s="482"/>
      <c r="Q2" s="350"/>
    </row>
    <row r="3" spans="1:17" ht="16.5">
      <c r="A3" s="816" t="s">
        <v>656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368"/>
      <c r="N3" s="368"/>
      <c r="O3" s="368"/>
      <c r="P3" s="368"/>
      <c r="Q3" s="350"/>
    </row>
    <row r="4" spans="1:17" ht="11.25" customHeight="1">
      <c r="A4" s="350"/>
      <c r="B4" s="350"/>
      <c r="C4" s="350"/>
      <c r="D4" s="350"/>
      <c r="E4" s="350"/>
      <c r="F4" s="350"/>
      <c r="G4" s="350"/>
      <c r="H4" s="481"/>
      <c r="I4" s="481"/>
      <c r="J4" s="481"/>
      <c r="K4" s="481"/>
      <c r="L4" s="481"/>
      <c r="M4" s="350"/>
      <c r="N4" s="350"/>
      <c r="O4" s="350"/>
      <c r="P4" s="350"/>
      <c r="Q4" s="350"/>
    </row>
    <row r="5" spans="1:17" ht="15.75" customHeight="1">
      <c r="A5" s="813" t="s">
        <v>664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350"/>
      <c r="Q5" s="350"/>
    </row>
    <row r="6" spans="1:17" ht="16.5">
      <c r="A6" s="350"/>
      <c r="B6" s="350"/>
      <c r="C6" s="350"/>
      <c r="D6" s="350"/>
      <c r="E6" s="350"/>
      <c r="F6" s="350"/>
      <c r="G6" s="350"/>
      <c r="H6" s="481"/>
      <c r="I6" s="481"/>
      <c r="J6" s="481"/>
      <c r="K6" s="481"/>
      <c r="L6" s="481"/>
      <c r="M6" s="350"/>
      <c r="N6" s="350"/>
      <c r="O6" s="350"/>
      <c r="P6" s="350"/>
      <c r="Q6" s="350"/>
    </row>
    <row r="7" spans="1:17" ht="17.25" customHeight="1">
      <c r="A7" s="736" t="s">
        <v>1004</v>
      </c>
      <c r="B7" s="736"/>
      <c r="C7" s="736"/>
      <c r="D7" s="350"/>
      <c r="E7" s="350"/>
      <c r="F7" s="350"/>
      <c r="G7" s="350"/>
      <c r="H7" s="481"/>
      <c r="I7" s="481"/>
      <c r="J7" s="481"/>
      <c r="K7" s="481"/>
      <c r="L7" s="481"/>
      <c r="M7" s="350"/>
      <c r="N7" s="829" t="s">
        <v>821</v>
      </c>
      <c r="O7" s="829"/>
      <c r="P7" s="829"/>
      <c r="Q7" s="829"/>
    </row>
    <row r="8" spans="1:17" ht="48.75" customHeight="1">
      <c r="A8" s="817" t="s">
        <v>2</v>
      </c>
      <c r="B8" s="817" t="s">
        <v>3</v>
      </c>
      <c r="C8" s="818" t="s">
        <v>665</v>
      </c>
      <c r="D8" s="819"/>
      <c r="E8" s="819"/>
      <c r="F8" s="819"/>
      <c r="G8" s="820"/>
      <c r="H8" s="821" t="s">
        <v>702</v>
      </c>
      <c r="I8" s="822"/>
      <c r="J8" s="822"/>
      <c r="K8" s="822"/>
      <c r="L8" s="823"/>
      <c r="M8" s="824" t="s">
        <v>112</v>
      </c>
      <c r="N8" s="825"/>
      <c r="O8" s="825"/>
      <c r="P8" s="825"/>
      <c r="Q8" s="826"/>
    </row>
    <row r="9" spans="1:18" s="351" customFormat="1" ht="69.75" customHeight="1">
      <c r="A9" s="817"/>
      <c r="B9" s="817"/>
      <c r="C9" s="422" t="s">
        <v>216</v>
      </c>
      <c r="D9" s="422" t="s">
        <v>217</v>
      </c>
      <c r="E9" s="422" t="s">
        <v>369</v>
      </c>
      <c r="F9" s="422" t="s">
        <v>224</v>
      </c>
      <c r="G9" s="422" t="s">
        <v>118</v>
      </c>
      <c r="H9" s="488" t="s">
        <v>216</v>
      </c>
      <c r="I9" s="489" t="s">
        <v>217</v>
      </c>
      <c r="J9" s="489" t="s">
        <v>369</v>
      </c>
      <c r="K9" s="490" t="s">
        <v>224</v>
      </c>
      <c r="L9" s="489" t="s">
        <v>372</v>
      </c>
      <c r="M9" s="422" t="s">
        <v>216</v>
      </c>
      <c r="N9" s="422" t="s">
        <v>217</v>
      </c>
      <c r="O9" s="422" t="s">
        <v>369</v>
      </c>
      <c r="P9" s="487" t="s">
        <v>224</v>
      </c>
      <c r="Q9" s="422" t="s">
        <v>120</v>
      </c>
      <c r="R9" s="491"/>
    </row>
    <row r="10" spans="1:17" s="65" customFormat="1" ht="16.5">
      <c r="A10" s="484">
        <v>1</v>
      </c>
      <c r="B10" s="484">
        <v>2</v>
      </c>
      <c r="C10" s="484">
        <v>3</v>
      </c>
      <c r="D10" s="484">
        <v>4</v>
      </c>
      <c r="E10" s="484">
        <v>5</v>
      </c>
      <c r="F10" s="484">
        <v>6</v>
      </c>
      <c r="G10" s="484">
        <v>7</v>
      </c>
      <c r="H10" s="485">
        <v>8</v>
      </c>
      <c r="I10" s="485">
        <v>9</v>
      </c>
      <c r="J10" s="485">
        <v>10</v>
      </c>
      <c r="K10" s="485">
        <v>11</v>
      </c>
      <c r="L10" s="485">
        <v>12</v>
      </c>
      <c r="M10" s="484">
        <v>13</v>
      </c>
      <c r="N10" s="484">
        <v>14</v>
      </c>
      <c r="O10" s="484">
        <v>15</v>
      </c>
      <c r="P10" s="484">
        <v>16</v>
      </c>
      <c r="Q10" s="484">
        <v>17</v>
      </c>
    </row>
    <row r="11" spans="1:27" ht="16.5">
      <c r="A11" s="349">
        <v>1</v>
      </c>
      <c r="B11" s="373" t="s">
        <v>870</v>
      </c>
      <c r="C11" s="374">
        <v>217688</v>
      </c>
      <c r="D11" s="374">
        <v>94618</v>
      </c>
      <c r="E11" s="374">
        <v>0</v>
      </c>
      <c r="F11" s="374">
        <v>0</v>
      </c>
      <c r="G11" s="374">
        <f>C11+D11+E11+F11</f>
        <v>312306</v>
      </c>
      <c r="H11" s="486">
        <f>M11/'T5_PLAN_vs_PRFM'!I12</f>
        <v>205180.93243243243</v>
      </c>
      <c r="I11" s="486">
        <f>N11/'T5_PLAN_vs_PRFM'!I12</f>
        <v>74104.50900900901</v>
      </c>
      <c r="J11" s="374">
        <f>O11/'T5_PLAN_vs_PRFM'!I12</f>
        <v>0</v>
      </c>
      <c r="K11" s="374">
        <v>0</v>
      </c>
      <c r="L11" s="486">
        <v>279285.4414414414</v>
      </c>
      <c r="M11" s="374">
        <v>45550167</v>
      </c>
      <c r="N11" s="374">
        <v>16451201</v>
      </c>
      <c r="O11" s="374">
        <v>0</v>
      </c>
      <c r="P11" s="374">
        <v>0</v>
      </c>
      <c r="Q11" s="374">
        <f>M11+N11+O11+P11</f>
        <v>62001368</v>
      </c>
      <c r="R11" s="406"/>
      <c r="S11" s="16">
        <f>C11*222</f>
        <v>48326736</v>
      </c>
      <c r="T11" s="16">
        <f>D11*222</f>
        <v>21005196</v>
      </c>
      <c r="U11" s="16">
        <f>S11+T11</f>
        <v>69331932</v>
      </c>
      <c r="V11" s="16">
        <v>62001368</v>
      </c>
      <c r="W11" s="16">
        <f>V11-Q11</f>
        <v>0</v>
      </c>
      <c r="X11" s="16">
        <f>Q11/222</f>
        <v>279285.4414414414</v>
      </c>
      <c r="Y11" s="373" t="s">
        <v>881</v>
      </c>
      <c r="Z11" s="325">
        <v>70.04563250077165</v>
      </c>
      <c r="AA11" s="325">
        <v>67.43173021253494</v>
      </c>
    </row>
    <row r="12" spans="1:27" ht="16.5">
      <c r="A12" s="349">
        <v>2</v>
      </c>
      <c r="B12" s="373" t="s">
        <v>871</v>
      </c>
      <c r="C12" s="374">
        <v>64873</v>
      </c>
      <c r="D12" s="374">
        <v>30829</v>
      </c>
      <c r="E12" s="374">
        <v>0</v>
      </c>
      <c r="F12" s="374">
        <v>0</v>
      </c>
      <c r="G12" s="374">
        <f aca="true" t="shared" si="0" ref="G12:G45">C12+D12+E12+F12</f>
        <v>95702</v>
      </c>
      <c r="H12" s="486">
        <f>M12/'T5_PLAN_vs_PRFM'!I13</f>
        <v>55318.78378378379</v>
      </c>
      <c r="I12" s="486">
        <f>N12/'T5_PLAN_vs_PRFM'!I13</f>
        <v>20026.891891891893</v>
      </c>
      <c r="J12" s="374">
        <v>0</v>
      </c>
      <c r="K12" s="374">
        <v>0</v>
      </c>
      <c r="L12" s="486">
        <v>75345.67572072073</v>
      </c>
      <c r="M12" s="374">
        <f>11680770+600000</f>
        <v>12280770</v>
      </c>
      <c r="N12" s="374">
        <f>4051921+394049</f>
        <v>4445970</v>
      </c>
      <c r="O12" s="374">
        <v>0</v>
      </c>
      <c r="P12" s="374">
        <v>0</v>
      </c>
      <c r="Q12" s="374">
        <f aca="true" t="shared" si="1" ref="Q12:Q45">M12+N12+O12+P12</f>
        <v>16726740</v>
      </c>
      <c r="R12" s="406"/>
      <c r="S12" s="16">
        <f aca="true" t="shared" si="2" ref="S12:S46">C12*222</f>
        <v>14401806</v>
      </c>
      <c r="T12" s="16">
        <f aca="true" t="shared" si="3" ref="T12:T46">D12*222</f>
        <v>6844038</v>
      </c>
      <c r="U12" s="16">
        <f aca="true" t="shared" si="4" ref="U12:U46">S12+T12</f>
        <v>21245844</v>
      </c>
      <c r="V12" s="16">
        <v>16726740.01</v>
      </c>
      <c r="W12" s="16">
        <f aca="true" t="shared" si="5" ref="W12:W46">V12-Q12</f>
        <v>0.009999999776482582</v>
      </c>
      <c r="X12" s="16">
        <f aca="true" t="shared" si="6" ref="X12:X46">Q12/222</f>
        <v>75345.67567567568</v>
      </c>
      <c r="Y12" s="373" t="s">
        <v>886</v>
      </c>
      <c r="Z12" s="325">
        <v>72.31814975501129</v>
      </c>
      <c r="AA12" s="325">
        <v>80.29162807482165</v>
      </c>
    </row>
    <row r="13" spans="1:27" ht="16.5">
      <c r="A13" s="349">
        <v>3</v>
      </c>
      <c r="B13" s="373" t="s">
        <v>872</v>
      </c>
      <c r="C13" s="374">
        <v>109113</v>
      </c>
      <c r="D13" s="374">
        <v>49184</v>
      </c>
      <c r="E13" s="374">
        <v>0</v>
      </c>
      <c r="F13" s="374">
        <v>0</v>
      </c>
      <c r="G13" s="374">
        <f t="shared" si="0"/>
        <v>158297</v>
      </c>
      <c r="H13" s="486">
        <f>M13/'T5_PLAN_vs_PRFM'!I14</f>
        <v>104850.2027027027</v>
      </c>
      <c r="I13" s="486">
        <f>N13/'T5_PLAN_vs_PRFM'!I14</f>
        <v>43940.36936936937</v>
      </c>
      <c r="J13" s="374">
        <v>0</v>
      </c>
      <c r="K13" s="374">
        <v>0</v>
      </c>
      <c r="L13" s="486">
        <v>148790.57283783786</v>
      </c>
      <c r="M13" s="374">
        <f>22257465+19280+1000000</f>
        <v>23276745</v>
      </c>
      <c r="N13" s="374">
        <f>9446404+308358</f>
        <v>9754762</v>
      </c>
      <c r="O13" s="374">
        <v>0</v>
      </c>
      <c r="P13" s="374">
        <v>0</v>
      </c>
      <c r="Q13" s="374">
        <f t="shared" si="1"/>
        <v>33031507</v>
      </c>
      <c r="R13" s="406"/>
      <c r="S13" s="16">
        <f t="shared" si="2"/>
        <v>24223086</v>
      </c>
      <c r="T13" s="16">
        <f t="shared" si="3"/>
        <v>10918848</v>
      </c>
      <c r="U13" s="16">
        <f t="shared" si="4"/>
        <v>35141934</v>
      </c>
      <c r="V13" s="16">
        <v>33031507.17</v>
      </c>
      <c r="W13" s="16">
        <f t="shared" si="5"/>
        <v>0.17000000178813934</v>
      </c>
      <c r="X13" s="16">
        <f t="shared" si="6"/>
        <v>148790.57207207207</v>
      </c>
      <c r="Y13" s="373" t="s">
        <v>882</v>
      </c>
      <c r="Z13" s="325">
        <v>73.67576208254987</v>
      </c>
      <c r="AA13" s="325">
        <v>66.04109454245695</v>
      </c>
    </row>
    <row r="14" spans="1:27" ht="16.5">
      <c r="A14" s="349">
        <v>4</v>
      </c>
      <c r="B14" s="373" t="s">
        <v>873</v>
      </c>
      <c r="C14" s="374">
        <v>169652</v>
      </c>
      <c r="D14" s="374">
        <v>131791</v>
      </c>
      <c r="E14" s="374">
        <v>0</v>
      </c>
      <c r="F14" s="374">
        <v>0</v>
      </c>
      <c r="G14" s="374">
        <f t="shared" si="0"/>
        <v>301443</v>
      </c>
      <c r="H14" s="486">
        <f>M14/'T5_PLAN_vs_PRFM'!I15</f>
        <v>139118.05855855855</v>
      </c>
      <c r="I14" s="486">
        <f>N14/'T5_PLAN_vs_PRFM'!I15</f>
        <v>106369.65765765766</v>
      </c>
      <c r="J14" s="374">
        <v>0</v>
      </c>
      <c r="K14" s="374">
        <v>0</v>
      </c>
      <c r="L14" s="486">
        <v>250488</v>
      </c>
      <c r="M14" s="374">
        <f>29884209+1000000</f>
        <v>30884209</v>
      </c>
      <c r="N14" s="374">
        <f>23214984+399080</f>
        <v>23614064</v>
      </c>
      <c r="O14" s="374"/>
      <c r="P14" s="374"/>
      <c r="Q14" s="374">
        <f t="shared" si="1"/>
        <v>54498273</v>
      </c>
      <c r="R14" s="406"/>
      <c r="S14" s="16">
        <f t="shared" si="2"/>
        <v>37662744</v>
      </c>
      <c r="T14" s="16">
        <f t="shared" si="3"/>
        <v>29257602</v>
      </c>
      <c r="U14" s="16">
        <f t="shared" si="4"/>
        <v>66920346</v>
      </c>
      <c r="V14" s="16">
        <v>54498272.79</v>
      </c>
      <c r="W14" s="16">
        <f t="shared" si="5"/>
        <v>-0.21000000089406967</v>
      </c>
      <c r="X14" s="16">
        <f t="shared" si="6"/>
        <v>245487.7162162162</v>
      </c>
      <c r="Y14" s="373" t="s">
        <v>900</v>
      </c>
      <c r="Z14" s="325">
        <v>76.50578515582713</v>
      </c>
      <c r="AA14" s="325">
        <v>75.16797463665641</v>
      </c>
    </row>
    <row r="15" spans="1:27" ht="16.5">
      <c r="A15" s="349">
        <v>5</v>
      </c>
      <c r="B15" s="373" t="s">
        <v>874</v>
      </c>
      <c r="C15" s="374">
        <v>157658</v>
      </c>
      <c r="D15" s="374">
        <v>81845</v>
      </c>
      <c r="E15" s="374">
        <v>1028</v>
      </c>
      <c r="F15" s="374"/>
      <c r="G15" s="374">
        <f t="shared" si="0"/>
        <v>240531</v>
      </c>
      <c r="H15" s="486">
        <f>M15/'T5_PLAN_vs_PRFM'!I16</f>
        <v>146770.23423423423</v>
      </c>
      <c r="I15" s="486">
        <f>N15/'T5_PLAN_vs_PRFM'!I16</f>
        <v>50569.04054054054</v>
      </c>
      <c r="J15" s="486">
        <f>1028/313</f>
        <v>3.2843450479233227</v>
      </c>
      <c r="K15" s="374">
        <v>0</v>
      </c>
      <c r="L15" s="486">
        <v>197339.27477477476</v>
      </c>
      <c r="M15" s="374">
        <f>32182992+400000</f>
        <v>32582992</v>
      </c>
      <c r="N15" s="374">
        <f>11003842+222485</f>
        <v>11226327</v>
      </c>
      <c r="O15" s="374"/>
      <c r="P15" s="374"/>
      <c r="Q15" s="374">
        <f t="shared" si="1"/>
        <v>43809319</v>
      </c>
      <c r="R15" s="406"/>
      <c r="S15" s="16">
        <f t="shared" si="2"/>
        <v>35000076</v>
      </c>
      <c r="T15" s="16">
        <f t="shared" si="3"/>
        <v>18169590</v>
      </c>
      <c r="U15" s="16">
        <f t="shared" si="4"/>
        <v>53169666</v>
      </c>
      <c r="V15" s="16">
        <v>43809319</v>
      </c>
      <c r="W15" s="16">
        <f t="shared" si="5"/>
        <v>0</v>
      </c>
      <c r="X15" s="16">
        <f t="shared" si="6"/>
        <v>197339.27477477476</v>
      </c>
      <c r="Y15" s="373" t="s">
        <v>871</v>
      </c>
      <c r="Z15" s="325">
        <v>78.72946821976102</v>
      </c>
      <c r="AA15" s="325">
        <v>78.51165376701125</v>
      </c>
    </row>
    <row r="16" spans="1:27" ht="16.5">
      <c r="A16" s="349">
        <v>6</v>
      </c>
      <c r="B16" s="373" t="s">
        <v>875</v>
      </c>
      <c r="C16" s="374">
        <v>50428</v>
      </c>
      <c r="D16" s="374">
        <v>18708</v>
      </c>
      <c r="E16" s="374">
        <v>0</v>
      </c>
      <c r="F16" s="374">
        <v>0</v>
      </c>
      <c r="G16" s="374">
        <f t="shared" si="0"/>
        <v>69136</v>
      </c>
      <c r="H16" s="486">
        <f>M16/'T5_PLAN_vs_PRFM'!I17</f>
        <v>45840.7027027027</v>
      </c>
      <c r="I16" s="486">
        <f>N16/'T5_PLAN_vs_PRFM'!I17</f>
        <v>18416.396396396398</v>
      </c>
      <c r="J16" s="374">
        <v>0</v>
      </c>
      <c r="K16" s="374">
        <v>0</v>
      </c>
      <c r="L16" s="486">
        <v>64257.10135135135</v>
      </c>
      <c r="M16" s="374">
        <f>10103858+72778</f>
        <v>10176636</v>
      </c>
      <c r="N16" s="374">
        <v>4088440</v>
      </c>
      <c r="O16" s="374">
        <v>0</v>
      </c>
      <c r="P16" s="374">
        <v>0</v>
      </c>
      <c r="Q16" s="374">
        <f t="shared" si="1"/>
        <v>14265076</v>
      </c>
      <c r="R16" s="406"/>
      <c r="S16" s="16">
        <f t="shared" si="2"/>
        <v>11195016</v>
      </c>
      <c r="T16" s="16">
        <f t="shared" si="3"/>
        <v>4153176</v>
      </c>
      <c r="U16" s="16">
        <f t="shared" si="4"/>
        <v>15348192</v>
      </c>
      <c r="V16" s="16">
        <v>14265076.5</v>
      </c>
      <c r="W16" s="16">
        <f t="shared" si="5"/>
        <v>0.5</v>
      </c>
      <c r="X16" s="16">
        <f t="shared" si="6"/>
        <v>64257.0990990991</v>
      </c>
      <c r="Y16" s="373" t="s">
        <v>885</v>
      </c>
      <c r="Z16" s="325">
        <v>80.40996359751975</v>
      </c>
      <c r="AA16" s="325">
        <v>76.77045497846198</v>
      </c>
    </row>
    <row r="17" spans="1:27" ht="16.5">
      <c r="A17" s="349">
        <v>7</v>
      </c>
      <c r="B17" s="373" t="s">
        <v>876</v>
      </c>
      <c r="C17" s="374">
        <v>136622</v>
      </c>
      <c r="D17" s="374">
        <v>39609</v>
      </c>
      <c r="E17" s="374">
        <v>0</v>
      </c>
      <c r="F17" s="374">
        <v>0</v>
      </c>
      <c r="G17" s="374">
        <f t="shared" si="0"/>
        <v>176231</v>
      </c>
      <c r="H17" s="486">
        <f>M17/'T5_PLAN_vs_PRFM'!I18</f>
        <v>121319.23873873874</v>
      </c>
      <c r="I17" s="486">
        <f>N17/'T5_PLAN_vs_PRFM'!I18</f>
        <v>34232.738738738735</v>
      </c>
      <c r="J17" s="374">
        <v>0</v>
      </c>
      <c r="K17" s="374">
        <v>0</v>
      </c>
      <c r="L17" s="486">
        <v>155551.97945945946</v>
      </c>
      <c r="M17" s="374">
        <f>25932871+1000000</f>
        <v>26932871</v>
      </c>
      <c r="N17" s="374">
        <f>7322927+276741</f>
        <v>7599668</v>
      </c>
      <c r="O17" s="374">
        <v>0</v>
      </c>
      <c r="P17" s="374">
        <v>0</v>
      </c>
      <c r="Q17" s="374">
        <f t="shared" si="1"/>
        <v>34532539</v>
      </c>
      <c r="R17" s="406"/>
      <c r="S17" s="16">
        <f t="shared" si="2"/>
        <v>30330084</v>
      </c>
      <c r="T17" s="16">
        <f t="shared" si="3"/>
        <v>8793198</v>
      </c>
      <c r="U17" s="16">
        <f t="shared" si="4"/>
        <v>39123282</v>
      </c>
      <c r="V17" s="16">
        <v>34532539.44</v>
      </c>
      <c r="W17" s="16">
        <f t="shared" si="5"/>
        <v>0.4399999976158142</v>
      </c>
      <c r="X17" s="16">
        <f t="shared" si="6"/>
        <v>155551.97747747749</v>
      </c>
      <c r="Y17" s="373" t="s">
        <v>873</v>
      </c>
      <c r="Z17" s="325">
        <v>81.43752424711013</v>
      </c>
      <c r="AA17" s="325">
        <v>84.70129042131579</v>
      </c>
    </row>
    <row r="18" spans="1:27" ht="16.5">
      <c r="A18" s="349">
        <v>8</v>
      </c>
      <c r="B18" s="373" t="s">
        <v>877</v>
      </c>
      <c r="C18" s="374">
        <v>87835</v>
      </c>
      <c r="D18" s="374">
        <v>21734</v>
      </c>
      <c r="E18" s="374">
        <v>0</v>
      </c>
      <c r="F18" s="374">
        <v>0</v>
      </c>
      <c r="G18" s="374">
        <f t="shared" si="0"/>
        <v>109569</v>
      </c>
      <c r="H18" s="486">
        <f>M18/'T5_PLAN_vs_PRFM'!I19</f>
        <v>72337.04054054055</v>
      </c>
      <c r="I18" s="486">
        <f>N18/'T5_PLAN_vs_PRFM'!I19</f>
        <v>19847.07207207207</v>
      </c>
      <c r="J18" s="374">
        <v>0</v>
      </c>
      <c r="K18" s="374">
        <v>0</v>
      </c>
      <c r="L18" s="486">
        <v>92184.11301801802</v>
      </c>
      <c r="M18" s="374">
        <f>15422209+36614+600000</f>
        <v>16058823</v>
      </c>
      <c r="N18" s="374">
        <f>4023772+382278</f>
        <v>4406050</v>
      </c>
      <c r="O18" s="374">
        <v>0</v>
      </c>
      <c r="P18" s="374">
        <v>0</v>
      </c>
      <c r="Q18" s="374">
        <f t="shared" si="1"/>
        <v>20464873</v>
      </c>
      <c r="R18" s="406"/>
      <c r="S18" s="16">
        <f t="shared" si="2"/>
        <v>19499370</v>
      </c>
      <c r="T18" s="16">
        <f t="shared" si="3"/>
        <v>4824948</v>
      </c>
      <c r="U18" s="16">
        <f t="shared" si="4"/>
        <v>24324318</v>
      </c>
      <c r="V18" s="16">
        <v>20464873.09</v>
      </c>
      <c r="W18" s="16">
        <f t="shared" si="5"/>
        <v>0.08999999985098839</v>
      </c>
      <c r="X18" s="16">
        <f t="shared" si="6"/>
        <v>92184.11261261262</v>
      </c>
      <c r="Y18" s="373" t="s">
        <v>874</v>
      </c>
      <c r="Z18" s="325">
        <v>82.04317729306192</v>
      </c>
      <c r="AA18" s="325">
        <v>81.78567031674821</v>
      </c>
    </row>
    <row r="19" spans="1:27" ht="16.5">
      <c r="A19" s="349">
        <v>9</v>
      </c>
      <c r="B19" s="373" t="s">
        <v>878</v>
      </c>
      <c r="C19" s="374">
        <v>104315</v>
      </c>
      <c r="D19" s="374">
        <v>69257</v>
      </c>
      <c r="E19" s="374">
        <v>0</v>
      </c>
      <c r="F19" s="374">
        <v>0</v>
      </c>
      <c r="G19" s="374">
        <f t="shared" si="0"/>
        <v>173572</v>
      </c>
      <c r="H19" s="486">
        <f>M19/'T5_PLAN_vs_PRFM'!I20</f>
        <v>87719.14545454546</v>
      </c>
      <c r="I19" s="486">
        <f>N19/'T5_PLAN_vs_PRFM'!I20</f>
        <v>56064.509090909094</v>
      </c>
      <c r="J19" s="374">
        <v>0</v>
      </c>
      <c r="K19" s="374">
        <v>0</v>
      </c>
      <c r="L19" s="486">
        <v>143783.65472727272</v>
      </c>
      <c r="M19" s="374">
        <f>18698212+600000</f>
        <v>19298212</v>
      </c>
      <c r="N19" s="374">
        <f>11826196+18580+489416</f>
        <v>12334192</v>
      </c>
      <c r="O19" s="374">
        <v>0</v>
      </c>
      <c r="P19" s="374">
        <v>0</v>
      </c>
      <c r="Q19" s="374">
        <f t="shared" si="1"/>
        <v>31632404</v>
      </c>
      <c r="R19" s="406"/>
      <c r="S19" s="16">
        <f t="shared" si="2"/>
        <v>23157930</v>
      </c>
      <c r="T19" s="16">
        <f t="shared" si="3"/>
        <v>15375054</v>
      </c>
      <c r="U19" s="16">
        <f t="shared" si="4"/>
        <v>38532984</v>
      </c>
      <c r="V19" s="16">
        <v>31632404.04</v>
      </c>
      <c r="W19" s="16">
        <f t="shared" si="5"/>
        <v>0.03999999910593033</v>
      </c>
      <c r="X19" s="16">
        <f t="shared" si="6"/>
        <v>142488.3063063063</v>
      </c>
      <c r="Y19" s="373" t="s">
        <v>878</v>
      </c>
      <c r="Z19" s="325">
        <v>82.09175806368901</v>
      </c>
      <c r="AA19" s="325">
        <v>81.6181807882004</v>
      </c>
    </row>
    <row r="20" spans="1:27" ht="16.5">
      <c r="A20" s="349">
        <v>10</v>
      </c>
      <c r="B20" s="373" t="s">
        <v>879</v>
      </c>
      <c r="C20" s="374">
        <v>57387</v>
      </c>
      <c r="D20" s="374">
        <v>7224</v>
      </c>
      <c r="E20" s="374">
        <v>0</v>
      </c>
      <c r="F20" s="374">
        <v>26</v>
      </c>
      <c r="G20" s="374">
        <f t="shared" si="0"/>
        <v>64637</v>
      </c>
      <c r="H20" s="486">
        <f>M20/'T5_PLAN_vs_PRFM'!I21</f>
        <v>50012.707207207204</v>
      </c>
      <c r="I20" s="486">
        <f>N20/'T5_PLAN_vs_PRFM'!I21</f>
        <v>5900.77027027027</v>
      </c>
      <c r="J20" s="374">
        <v>0</v>
      </c>
      <c r="K20" s="374">
        <v>26</v>
      </c>
      <c r="L20" s="486">
        <v>55936.2972972973</v>
      </c>
      <c r="M20" s="374">
        <v>11102821</v>
      </c>
      <c r="N20" s="374">
        <v>1309971</v>
      </c>
      <c r="O20" s="374">
        <v>0</v>
      </c>
      <c r="P20" s="374">
        <v>5066</v>
      </c>
      <c r="Q20" s="374">
        <f t="shared" si="1"/>
        <v>12417858</v>
      </c>
      <c r="R20" s="406"/>
      <c r="S20" s="16">
        <f t="shared" si="2"/>
        <v>12739914</v>
      </c>
      <c r="T20" s="16">
        <f t="shared" si="3"/>
        <v>1603728</v>
      </c>
      <c r="U20" s="16">
        <f t="shared" si="4"/>
        <v>14343642</v>
      </c>
      <c r="V20" s="16">
        <v>12417858</v>
      </c>
      <c r="W20" s="16">
        <f t="shared" si="5"/>
        <v>0</v>
      </c>
      <c r="X20" s="16">
        <f t="shared" si="6"/>
        <v>55936.2972972973</v>
      </c>
      <c r="Y20" s="373" t="s">
        <v>902</v>
      </c>
      <c r="Z20" s="325">
        <v>83.09299319912341</v>
      </c>
      <c r="AA20" s="325">
        <v>97.66095879311517</v>
      </c>
    </row>
    <row r="21" spans="1:27" ht="16.5">
      <c r="A21" s="349">
        <v>11</v>
      </c>
      <c r="B21" s="373" t="s">
        <v>880</v>
      </c>
      <c r="C21" s="374">
        <v>61765</v>
      </c>
      <c r="D21" s="374">
        <v>13140</v>
      </c>
      <c r="E21" s="374"/>
      <c r="F21" s="374"/>
      <c r="G21" s="374">
        <f t="shared" si="0"/>
        <v>74905</v>
      </c>
      <c r="H21" s="486">
        <f>M21/'T5_PLAN_vs_PRFM'!I22</f>
        <v>58764.07272727273</v>
      </c>
      <c r="I21" s="486">
        <f>N21/'T5_PLAN_vs_PRFM'!I22</f>
        <v>12837.645454545454</v>
      </c>
      <c r="J21" s="374">
        <v>0</v>
      </c>
      <c r="K21" s="374">
        <v>0</v>
      </c>
      <c r="L21" s="486">
        <v>71601.71840909091</v>
      </c>
      <c r="M21" s="374">
        <f>11928096+1000000</f>
        <v>12928096</v>
      </c>
      <c r="N21" s="374">
        <f>2454487+369795</f>
        <v>2824282</v>
      </c>
      <c r="O21" s="374">
        <v>0</v>
      </c>
      <c r="P21" s="374">
        <v>0</v>
      </c>
      <c r="Q21" s="374">
        <f t="shared" si="1"/>
        <v>15752378</v>
      </c>
      <c r="R21" s="406"/>
      <c r="S21" s="16">
        <f t="shared" si="2"/>
        <v>13711830</v>
      </c>
      <c r="T21" s="16">
        <f t="shared" si="3"/>
        <v>2917080</v>
      </c>
      <c r="U21" s="16">
        <f t="shared" si="4"/>
        <v>16628910</v>
      </c>
      <c r="V21" s="16">
        <v>15752378.05</v>
      </c>
      <c r="W21" s="16">
        <f t="shared" si="5"/>
        <v>0.05000000074505806</v>
      </c>
      <c r="X21" s="16">
        <f t="shared" si="6"/>
        <v>70956.65765765766</v>
      </c>
      <c r="Y21" s="373" t="s">
        <v>903</v>
      </c>
      <c r="Z21" s="325">
        <v>83.32694400467994</v>
      </c>
      <c r="AA21" s="325">
        <v>76.94157649343309</v>
      </c>
    </row>
    <row r="22" spans="1:27" ht="16.5">
      <c r="A22" s="349">
        <v>12</v>
      </c>
      <c r="B22" s="373" t="s">
        <v>881</v>
      </c>
      <c r="C22" s="374">
        <v>80490</v>
      </c>
      <c r="D22" s="374">
        <v>21492</v>
      </c>
      <c r="E22" s="374">
        <v>0</v>
      </c>
      <c r="F22" s="374">
        <v>0</v>
      </c>
      <c r="G22" s="374">
        <f t="shared" si="0"/>
        <v>101982</v>
      </c>
      <c r="H22" s="486">
        <f>M22/'T5_PLAN_vs_PRFM'!I23</f>
        <v>56169.864253393665</v>
      </c>
      <c r="I22" s="486">
        <f>N22/'T5_PLAN_vs_PRFM'!I23</f>
        <v>15587.303167420814</v>
      </c>
      <c r="J22" s="374">
        <v>0</v>
      </c>
      <c r="K22" s="374">
        <v>0</v>
      </c>
      <c r="L22" s="486">
        <v>71757.16678733031</v>
      </c>
      <c r="M22" s="374">
        <f>11413540+1000000</f>
        <v>12413540</v>
      </c>
      <c r="N22" s="374">
        <f>2989138+455656</f>
        <v>3444794</v>
      </c>
      <c r="O22" s="374">
        <v>0</v>
      </c>
      <c r="P22" s="374">
        <v>0</v>
      </c>
      <c r="Q22" s="374">
        <f t="shared" si="1"/>
        <v>15858334</v>
      </c>
      <c r="R22" s="406"/>
      <c r="S22" s="16">
        <f t="shared" si="2"/>
        <v>17868780</v>
      </c>
      <c r="T22" s="16">
        <f t="shared" si="3"/>
        <v>4771224</v>
      </c>
      <c r="U22" s="16">
        <f t="shared" si="4"/>
        <v>22640004</v>
      </c>
      <c r="V22" s="16">
        <v>15858333.86</v>
      </c>
      <c r="W22" s="16">
        <f t="shared" si="5"/>
        <v>-0.14000000059604645</v>
      </c>
      <c r="X22" s="16">
        <f t="shared" si="6"/>
        <v>71433.93693693694</v>
      </c>
      <c r="Y22" s="373" t="s">
        <v>888</v>
      </c>
      <c r="Z22" s="325">
        <v>84.02006770482026</v>
      </c>
      <c r="AA22" s="325">
        <v>80.70535089846052</v>
      </c>
    </row>
    <row r="23" spans="1:27" ht="16.5">
      <c r="A23" s="349">
        <v>13</v>
      </c>
      <c r="B23" s="373" t="s">
        <v>882</v>
      </c>
      <c r="C23" s="374">
        <v>208878</v>
      </c>
      <c r="D23" s="374">
        <v>119555</v>
      </c>
      <c r="E23" s="374">
        <v>1400</v>
      </c>
      <c r="F23" s="374">
        <v>54</v>
      </c>
      <c r="G23" s="374">
        <f t="shared" si="0"/>
        <v>329887</v>
      </c>
      <c r="H23" s="486">
        <f>M23/'T5_PLAN_vs_PRFM'!I24</f>
        <v>175129.48198198198</v>
      </c>
      <c r="I23" s="486">
        <f>N23/'T5_PLAN_vs_PRFM'!I24</f>
        <v>67873.11261261262</v>
      </c>
      <c r="J23" s="486">
        <f>1400/313</f>
        <v>4.472843450479234</v>
      </c>
      <c r="K23" s="374">
        <v>54</v>
      </c>
      <c r="L23" s="486">
        <v>243046.76274774774</v>
      </c>
      <c r="M23" s="374">
        <f>37878745+1000000</f>
        <v>38878745</v>
      </c>
      <c r="N23" s="374">
        <f>14314835+752996</f>
        <v>15067831</v>
      </c>
      <c r="O23" s="374">
        <v>0</v>
      </c>
      <c r="P23" s="374">
        <v>9805</v>
      </c>
      <c r="Q23" s="374">
        <f t="shared" si="1"/>
        <v>53956381</v>
      </c>
      <c r="R23" s="406"/>
      <c r="S23" s="16">
        <f t="shared" si="2"/>
        <v>46370916</v>
      </c>
      <c r="T23" s="16">
        <f t="shared" si="3"/>
        <v>26541210</v>
      </c>
      <c r="U23" s="16">
        <f t="shared" si="4"/>
        <v>72912126</v>
      </c>
      <c r="V23" s="16">
        <v>53956381.33</v>
      </c>
      <c r="W23" s="16">
        <f t="shared" si="5"/>
        <v>0.32999999821186066</v>
      </c>
      <c r="X23" s="16">
        <f t="shared" si="6"/>
        <v>243046.76126126127</v>
      </c>
      <c r="Y23" s="373" t="s">
        <v>877</v>
      </c>
      <c r="Z23" s="20">
        <v>84.13338865245883</v>
      </c>
      <c r="AA23" s="325">
        <v>83.01893497784498</v>
      </c>
    </row>
    <row r="24" spans="1:27" ht="16.5">
      <c r="A24" s="349">
        <v>14</v>
      </c>
      <c r="B24" s="373" t="s">
        <v>883</v>
      </c>
      <c r="C24" s="374">
        <v>120526</v>
      </c>
      <c r="D24" s="374">
        <v>40011</v>
      </c>
      <c r="E24" s="374">
        <v>0</v>
      </c>
      <c r="F24" s="374">
        <v>0</v>
      </c>
      <c r="G24" s="374">
        <f t="shared" si="0"/>
        <v>160537</v>
      </c>
      <c r="H24" s="486">
        <f>M24/'T5_PLAN_vs_PRFM'!I25</f>
        <v>93731.35616438356</v>
      </c>
      <c r="I24" s="486">
        <f>N24/'T5_PLAN_vs_PRFM'!I25</f>
        <v>43330.88584474886</v>
      </c>
      <c r="J24" s="374">
        <v>0</v>
      </c>
      <c r="K24" s="374">
        <v>0</v>
      </c>
      <c r="L24" s="486">
        <v>137062.24360730595</v>
      </c>
      <c r="M24" s="374">
        <f>18027167+2500000</f>
        <v>20527167</v>
      </c>
      <c r="N24" s="374">
        <f>8557790+931674</f>
        <v>9489464</v>
      </c>
      <c r="O24" s="374">
        <v>0</v>
      </c>
      <c r="P24" s="374">
        <v>0</v>
      </c>
      <c r="Q24" s="374">
        <f t="shared" si="1"/>
        <v>30016631</v>
      </c>
      <c r="R24" s="406"/>
      <c r="S24" s="16">
        <f t="shared" si="2"/>
        <v>26756772</v>
      </c>
      <c r="T24" s="16">
        <f t="shared" si="3"/>
        <v>8882442</v>
      </c>
      <c r="U24" s="16">
        <f t="shared" si="4"/>
        <v>35639214</v>
      </c>
      <c r="V24" s="16">
        <v>30016631.35</v>
      </c>
      <c r="W24" s="16">
        <f t="shared" si="5"/>
        <v>0.3500000014901161</v>
      </c>
      <c r="X24" s="16">
        <f t="shared" si="6"/>
        <v>135210.04954954956</v>
      </c>
      <c r="Y24" s="373" t="s">
        <v>883</v>
      </c>
      <c r="Z24" s="20">
        <v>84.22360549253416</v>
      </c>
      <c r="AA24" s="325">
        <v>80.50628128544935</v>
      </c>
    </row>
    <row r="25" spans="1:27" ht="16.5">
      <c r="A25" s="349">
        <v>15</v>
      </c>
      <c r="B25" s="373" t="s">
        <v>884</v>
      </c>
      <c r="C25" s="374">
        <v>162476</v>
      </c>
      <c r="D25" s="374">
        <v>75388</v>
      </c>
      <c r="E25" s="374">
        <v>0</v>
      </c>
      <c r="F25" s="374">
        <v>0</v>
      </c>
      <c r="G25" s="374">
        <f t="shared" si="0"/>
        <v>237864</v>
      </c>
      <c r="H25" s="486">
        <f>M25/'T5_PLAN_vs_PRFM'!I26</f>
        <v>134754.73873873873</v>
      </c>
      <c r="I25" s="486">
        <f>N25/'T5_PLAN_vs_PRFM'!I26</f>
        <v>75096.12162162163</v>
      </c>
      <c r="J25" s="374">
        <v>0</v>
      </c>
      <c r="K25" s="374">
        <v>0</v>
      </c>
      <c r="L25" s="486">
        <v>209850.86036036036</v>
      </c>
      <c r="M25" s="374">
        <f>28414375+1177+1500000</f>
        <v>29915552</v>
      </c>
      <c r="N25" s="374">
        <f>15834719+836620</f>
        <v>16671339</v>
      </c>
      <c r="O25" s="374">
        <v>0</v>
      </c>
      <c r="P25" s="374"/>
      <c r="Q25" s="374">
        <f t="shared" si="1"/>
        <v>46586891</v>
      </c>
      <c r="R25" s="406"/>
      <c r="S25" s="16">
        <f t="shared" si="2"/>
        <v>36069672</v>
      </c>
      <c r="T25" s="16">
        <f t="shared" si="3"/>
        <v>16736136</v>
      </c>
      <c r="U25" s="16">
        <f t="shared" si="4"/>
        <v>52805808</v>
      </c>
      <c r="V25" s="16">
        <v>46586891</v>
      </c>
      <c r="W25" s="16">
        <f t="shared" si="5"/>
        <v>0</v>
      </c>
      <c r="X25" s="16">
        <f t="shared" si="6"/>
        <v>209850.86036036036</v>
      </c>
      <c r="Y25" s="458" t="s">
        <v>879</v>
      </c>
      <c r="Z25" s="16">
        <v>86.53912975122189</v>
      </c>
      <c r="AA25" s="341">
        <v>85.6579606457556</v>
      </c>
    </row>
    <row r="26" spans="1:27" ht="16.5">
      <c r="A26" s="349">
        <v>16</v>
      </c>
      <c r="B26" s="373" t="s">
        <v>885</v>
      </c>
      <c r="C26" s="374">
        <v>106072</v>
      </c>
      <c r="D26" s="374">
        <v>95377</v>
      </c>
      <c r="E26" s="374">
        <v>0</v>
      </c>
      <c r="F26" s="374">
        <v>0</v>
      </c>
      <c r="G26" s="374">
        <f t="shared" si="0"/>
        <v>201449</v>
      </c>
      <c r="H26" s="486">
        <f>M26/'T5_PLAN_vs_PRFM'!I27</f>
        <v>87174.37387387388</v>
      </c>
      <c r="I26" s="486">
        <f>N26/'T5_PLAN_vs_PRFM'!I27</f>
        <v>74810.6936936937</v>
      </c>
      <c r="J26" s="374">
        <v>0</v>
      </c>
      <c r="K26" s="374">
        <v>0</v>
      </c>
      <c r="L26" s="486">
        <v>161985.07063063062</v>
      </c>
      <c r="M26" s="374">
        <f>18352711+1000000</f>
        <v>19352711</v>
      </c>
      <c r="N26" s="374">
        <f>16343623+264351</f>
        <v>16607974</v>
      </c>
      <c r="O26" s="374">
        <v>0</v>
      </c>
      <c r="P26" s="374">
        <v>0</v>
      </c>
      <c r="Q26" s="374">
        <f t="shared" si="1"/>
        <v>35960685</v>
      </c>
      <c r="R26" s="406"/>
      <c r="S26" s="16">
        <f t="shared" si="2"/>
        <v>23547984</v>
      </c>
      <c r="T26" s="16">
        <f t="shared" si="3"/>
        <v>21173694</v>
      </c>
      <c r="U26" s="16">
        <f t="shared" si="4"/>
        <v>44721678</v>
      </c>
      <c r="V26" s="16">
        <v>35960685.68</v>
      </c>
      <c r="W26" s="16">
        <f t="shared" si="5"/>
        <v>0.6799999997019768</v>
      </c>
      <c r="X26" s="16">
        <f t="shared" si="6"/>
        <v>161985.06756756757</v>
      </c>
      <c r="Y26" s="373" t="s">
        <v>889</v>
      </c>
      <c r="Z26" s="16">
        <v>86.56308947914107</v>
      </c>
      <c r="AA26" s="341">
        <v>80.68536332670608</v>
      </c>
    </row>
    <row r="27" spans="1:27" ht="16.5">
      <c r="A27" s="349">
        <v>17</v>
      </c>
      <c r="B27" s="373" t="s">
        <v>886</v>
      </c>
      <c r="C27" s="374">
        <v>166664</v>
      </c>
      <c r="D27" s="374">
        <v>199832</v>
      </c>
      <c r="E27" s="374">
        <v>0</v>
      </c>
      <c r="F27" s="374">
        <v>0</v>
      </c>
      <c r="G27" s="374">
        <f t="shared" si="0"/>
        <v>366496</v>
      </c>
      <c r="H27" s="486">
        <f>M27/'T5_PLAN_vs_PRFM'!I28</f>
        <v>124510.27027027027</v>
      </c>
      <c r="I27" s="486">
        <f>N27/'T5_PLAN_vs_PRFM'!I28</f>
        <v>140532.85585585586</v>
      </c>
      <c r="J27" s="374">
        <v>0</v>
      </c>
      <c r="K27" s="374">
        <v>0</v>
      </c>
      <c r="L27" s="486">
        <v>265043.1280630631</v>
      </c>
      <c r="M27" s="374">
        <f>25641280+2000000</f>
        <v>27641280</v>
      </c>
      <c r="N27" s="374">
        <f>29861335+1336959</f>
        <v>31198294</v>
      </c>
      <c r="O27" s="374">
        <v>0</v>
      </c>
      <c r="P27" s="374">
        <v>0</v>
      </c>
      <c r="Q27" s="374">
        <f t="shared" si="1"/>
        <v>58839574</v>
      </c>
      <c r="R27" s="406"/>
      <c r="S27" s="16">
        <f t="shared" si="2"/>
        <v>36999408</v>
      </c>
      <c r="T27" s="16">
        <f t="shared" si="3"/>
        <v>44362704</v>
      </c>
      <c r="U27" s="16">
        <f t="shared" si="4"/>
        <v>81362112</v>
      </c>
      <c r="V27" s="16">
        <v>58839574.43</v>
      </c>
      <c r="W27" s="16">
        <f t="shared" si="5"/>
        <v>0.4299999997019768</v>
      </c>
      <c r="X27" s="16">
        <f t="shared" si="6"/>
        <v>265043.12612612615</v>
      </c>
      <c r="Y27" s="373" t="s">
        <v>887</v>
      </c>
      <c r="Z27" s="16">
        <v>86.8102591251928</v>
      </c>
      <c r="AA27" s="341">
        <v>82.87371752200163</v>
      </c>
    </row>
    <row r="28" spans="1:27" ht="16.5">
      <c r="A28" s="349">
        <v>18</v>
      </c>
      <c r="B28" s="373" t="s">
        <v>887</v>
      </c>
      <c r="C28" s="374">
        <v>88757</v>
      </c>
      <c r="D28" s="374">
        <v>121360</v>
      </c>
      <c r="E28" s="374">
        <v>0</v>
      </c>
      <c r="F28" s="374">
        <v>213</v>
      </c>
      <c r="G28" s="374">
        <f t="shared" si="0"/>
        <v>210330</v>
      </c>
      <c r="H28" s="486">
        <f>M28/'T5_PLAN_vs_PRFM'!I29</f>
        <v>73947.86936936936</v>
      </c>
      <c r="I28" s="486">
        <f>N28/'T5_PLAN_vs_PRFM'!I29</f>
        <v>108452.02702702703</v>
      </c>
      <c r="J28" s="374">
        <v>0</v>
      </c>
      <c r="K28" s="374">
        <v>213</v>
      </c>
      <c r="L28" s="486">
        <v>182588.02072072073</v>
      </c>
      <c r="M28" s="374">
        <f>15416427+1000000</f>
        <v>16416427</v>
      </c>
      <c r="N28" s="374">
        <f>23844130+232220</f>
        <v>24076350</v>
      </c>
      <c r="O28" s="374">
        <v>0</v>
      </c>
      <c r="P28" s="374">
        <v>41763</v>
      </c>
      <c r="Q28" s="374">
        <f t="shared" si="1"/>
        <v>40534540</v>
      </c>
      <c r="R28" s="406"/>
      <c r="S28" s="16">
        <f t="shared" si="2"/>
        <v>19704054</v>
      </c>
      <c r="T28" s="16">
        <f t="shared" si="3"/>
        <v>26941920</v>
      </c>
      <c r="U28" s="16">
        <f t="shared" si="4"/>
        <v>46645974</v>
      </c>
      <c r="V28" s="16">
        <v>40534540.6</v>
      </c>
      <c r="W28" s="16">
        <f t="shared" si="5"/>
        <v>0.6000000014901161</v>
      </c>
      <c r="X28" s="16">
        <f t="shared" si="6"/>
        <v>182588.01801801802</v>
      </c>
      <c r="Y28" s="373" t="s">
        <v>901</v>
      </c>
      <c r="Z28" s="16">
        <v>86.9052747863347</v>
      </c>
      <c r="AA28" s="341">
        <v>88.7992097492339</v>
      </c>
    </row>
    <row r="29" spans="1:27" ht="16.5">
      <c r="A29" s="349">
        <v>19</v>
      </c>
      <c r="B29" s="373" t="s">
        <v>888</v>
      </c>
      <c r="C29" s="374">
        <v>164052</v>
      </c>
      <c r="D29" s="374">
        <v>94234</v>
      </c>
      <c r="E29" s="374">
        <v>0</v>
      </c>
      <c r="F29" s="374">
        <v>0</v>
      </c>
      <c r="G29" s="374">
        <f t="shared" si="0"/>
        <v>258286</v>
      </c>
      <c r="H29" s="486">
        <f>M29/'T5_PLAN_vs_PRFM'!I30</f>
        <v>145526.29279279278</v>
      </c>
      <c r="I29" s="486">
        <f>N29/'T5_PLAN_vs_PRFM'!I30</f>
        <v>71485.77927927928</v>
      </c>
      <c r="J29" s="374">
        <v>0</v>
      </c>
      <c r="K29" s="374">
        <v>0</v>
      </c>
      <c r="L29" s="486">
        <v>217012.0705855856</v>
      </c>
      <c r="M29" s="374">
        <f>29306837+3000000</f>
        <v>32306837</v>
      </c>
      <c r="N29" s="374">
        <f>14398070+1471773</f>
        <v>15869843</v>
      </c>
      <c r="O29" s="374">
        <v>0</v>
      </c>
      <c r="P29" s="374">
        <v>0</v>
      </c>
      <c r="Q29" s="374">
        <f t="shared" si="1"/>
        <v>48176680</v>
      </c>
      <c r="R29" s="406"/>
      <c r="S29" s="16">
        <f t="shared" si="2"/>
        <v>36419544</v>
      </c>
      <c r="T29" s="16">
        <f t="shared" si="3"/>
        <v>20919948</v>
      </c>
      <c r="U29" s="16">
        <f t="shared" si="4"/>
        <v>57339492</v>
      </c>
      <c r="V29" s="16">
        <v>48176679.67</v>
      </c>
      <c r="W29" s="16">
        <f t="shared" si="5"/>
        <v>-0.32999999821186066</v>
      </c>
      <c r="X29" s="16">
        <f t="shared" si="6"/>
        <v>217012.07207207207</v>
      </c>
      <c r="Y29" s="373" t="s">
        <v>884</v>
      </c>
      <c r="Z29" s="16">
        <v>88.22304357126777</v>
      </c>
      <c r="AA29" s="341">
        <v>84.87000781909079</v>
      </c>
    </row>
    <row r="30" spans="1:27" ht="16.5">
      <c r="A30" s="349">
        <v>20</v>
      </c>
      <c r="B30" s="373" t="s">
        <v>889</v>
      </c>
      <c r="C30" s="374">
        <v>95830</v>
      </c>
      <c r="D30" s="374">
        <v>28139</v>
      </c>
      <c r="E30" s="374">
        <v>0</v>
      </c>
      <c r="F30" s="374">
        <v>0</v>
      </c>
      <c r="G30" s="374">
        <f t="shared" si="0"/>
        <v>123969</v>
      </c>
      <c r="H30" s="486">
        <f>M30/'T5_PLAN_vs_PRFM'!I31</f>
        <v>82854.77927927928</v>
      </c>
      <c r="I30" s="486">
        <f>N30/'T5_PLAN_vs_PRFM'!I31</f>
        <v>24456.617117117115</v>
      </c>
      <c r="J30" s="374">
        <v>0</v>
      </c>
      <c r="K30" s="374">
        <v>0</v>
      </c>
      <c r="L30" s="486">
        <v>107311.39774774775</v>
      </c>
      <c r="M30" s="374">
        <f>17893761+500000</f>
        <v>18393761</v>
      </c>
      <c r="N30" s="374">
        <f>5213305+216064</f>
        <v>5429369</v>
      </c>
      <c r="O30" s="374">
        <v>0</v>
      </c>
      <c r="P30" s="374">
        <v>0</v>
      </c>
      <c r="Q30" s="374">
        <f t="shared" si="1"/>
        <v>23823130</v>
      </c>
      <c r="R30" s="406"/>
      <c r="S30" s="16">
        <f t="shared" si="2"/>
        <v>21274260</v>
      </c>
      <c r="T30" s="16">
        <f t="shared" si="3"/>
        <v>6246858</v>
      </c>
      <c r="U30" s="16">
        <f t="shared" si="4"/>
        <v>27521118</v>
      </c>
      <c r="V30" s="16">
        <v>23823130.3</v>
      </c>
      <c r="W30" s="16">
        <f t="shared" si="5"/>
        <v>0.30000000074505806</v>
      </c>
      <c r="X30" s="16">
        <f t="shared" si="6"/>
        <v>107311.39639639639</v>
      </c>
      <c r="Y30" s="373" t="s">
        <v>876</v>
      </c>
      <c r="Z30" s="16">
        <v>88.26595631726398</v>
      </c>
      <c r="AA30" s="341">
        <v>86.54021329754562</v>
      </c>
    </row>
    <row r="31" spans="1:27" ht="16.5">
      <c r="A31" s="349">
        <v>21</v>
      </c>
      <c r="B31" s="373" t="s">
        <v>890</v>
      </c>
      <c r="C31" s="374">
        <v>286161</v>
      </c>
      <c r="D31" s="374">
        <v>149787</v>
      </c>
      <c r="E31" s="374">
        <v>0</v>
      </c>
      <c r="F31" s="374">
        <v>0</v>
      </c>
      <c r="G31" s="374">
        <f t="shared" si="0"/>
        <v>435948</v>
      </c>
      <c r="H31" s="486">
        <f>M31/'T5_PLAN_vs_PRFM'!I32</f>
        <v>260621.97747747749</v>
      </c>
      <c r="I31" s="486">
        <f>N31/'T5_PLAN_vs_PRFM'!I32</f>
        <v>125907.01351351352</v>
      </c>
      <c r="J31" s="374">
        <v>0</v>
      </c>
      <c r="K31" s="374">
        <v>0</v>
      </c>
      <c r="L31" s="486">
        <v>386528.990990991</v>
      </c>
      <c r="M31" s="374">
        <f>51858079+6000000</f>
        <v>57858079</v>
      </c>
      <c r="N31" s="374">
        <f>25354283+2597074</f>
        <v>27951357</v>
      </c>
      <c r="O31" s="374"/>
      <c r="P31" s="374"/>
      <c r="Q31" s="374">
        <f t="shared" si="1"/>
        <v>85809436</v>
      </c>
      <c r="R31" s="406"/>
      <c r="S31" s="16">
        <f t="shared" si="2"/>
        <v>63527742</v>
      </c>
      <c r="T31" s="16">
        <f t="shared" si="3"/>
        <v>33252714</v>
      </c>
      <c r="U31" s="16">
        <f t="shared" si="4"/>
        <v>96780456</v>
      </c>
      <c r="V31" s="16">
        <v>85809436</v>
      </c>
      <c r="W31" s="16">
        <f t="shared" si="5"/>
        <v>0</v>
      </c>
      <c r="X31" s="16">
        <f t="shared" si="6"/>
        <v>386528.990990991</v>
      </c>
      <c r="Y31" s="373" t="s">
        <v>904</v>
      </c>
      <c r="Z31" s="16">
        <v>88.55027867373548</v>
      </c>
      <c r="AA31" s="341">
        <v>85.59073187435045</v>
      </c>
    </row>
    <row r="32" spans="1:27" ht="16.5">
      <c r="A32" s="349">
        <v>22</v>
      </c>
      <c r="B32" s="373" t="s">
        <v>891</v>
      </c>
      <c r="C32" s="374">
        <v>83203</v>
      </c>
      <c r="D32" s="374">
        <v>31738</v>
      </c>
      <c r="E32" s="374">
        <v>0</v>
      </c>
      <c r="F32" s="374">
        <v>0</v>
      </c>
      <c r="G32" s="374">
        <f t="shared" si="0"/>
        <v>114941</v>
      </c>
      <c r="H32" s="486">
        <f>M32/'T5_PLAN_vs_PRFM'!I33</f>
        <v>74443.66363636364</v>
      </c>
      <c r="I32" s="486">
        <f>N32/'T5_PLAN_vs_PRFM'!I33</f>
        <v>28684.613636363636</v>
      </c>
      <c r="J32" s="374">
        <v>0</v>
      </c>
      <c r="K32" s="374">
        <v>0</v>
      </c>
      <c r="L32" s="486">
        <v>103128.28081818183</v>
      </c>
      <c r="M32" s="374">
        <f>15577606+800000</f>
        <v>16377606</v>
      </c>
      <c r="N32" s="374">
        <f>6102864+207751</f>
        <v>6310615</v>
      </c>
      <c r="O32" s="374"/>
      <c r="P32" s="374"/>
      <c r="Q32" s="374">
        <f t="shared" si="1"/>
        <v>22688221</v>
      </c>
      <c r="R32" s="406"/>
      <c r="S32" s="16">
        <f t="shared" si="2"/>
        <v>18471066</v>
      </c>
      <c r="T32" s="16">
        <f t="shared" si="3"/>
        <v>7045836</v>
      </c>
      <c r="U32" s="16">
        <f t="shared" si="4"/>
        <v>25516902</v>
      </c>
      <c r="V32" s="16">
        <v>22688221.78</v>
      </c>
      <c r="W32" s="16">
        <f t="shared" si="5"/>
        <v>0.7800000011920929</v>
      </c>
      <c r="X32" s="16">
        <f t="shared" si="6"/>
        <v>102199.1936936937</v>
      </c>
      <c r="Y32" s="373" t="s">
        <v>890</v>
      </c>
      <c r="Z32" s="16">
        <v>88.66401290773005</v>
      </c>
      <c r="AA32" s="341">
        <v>81.20577557563693</v>
      </c>
    </row>
    <row r="33" spans="1:27" ht="16.5">
      <c r="A33" s="349">
        <v>23</v>
      </c>
      <c r="B33" s="373" t="s">
        <v>892</v>
      </c>
      <c r="C33" s="374">
        <v>102912</v>
      </c>
      <c r="D33" s="374">
        <v>56768</v>
      </c>
      <c r="E33" s="374">
        <v>250</v>
      </c>
      <c r="F33" s="374">
        <v>0</v>
      </c>
      <c r="G33" s="374">
        <f t="shared" si="0"/>
        <v>159930</v>
      </c>
      <c r="H33" s="486">
        <f>M33/'T5_PLAN_vs_PRFM'!I34</f>
        <v>97132.76126126126</v>
      </c>
      <c r="I33" s="486">
        <f>N33/'T5_PLAN_vs_PRFM'!I34</f>
        <v>45146.17567567567</v>
      </c>
      <c r="J33" s="486">
        <f>250/313</f>
        <v>0.7987220447284346</v>
      </c>
      <c r="K33" s="374">
        <v>0</v>
      </c>
      <c r="L33" s="486">
        <v>142278.93819819822</v>
      </c>
      <c r="M33" s="374">
        <f>19503473+60000+2000000</f>
        <v>21563473</v>
      </c>
      <c r="N33" s="374">
        <f>9045809+37000+939642</f>
        <v>10022451</v>
      </c>
      <c r="O33" s="374">
        <v>0</v>
      </c>
      <c r="P33" s="374">
        <v>0</v>
      </c>
      <c r="Q33" s="374">
        <f t="shared" si="1"/>
        <v>31585924</v>
      </c>
      <c r="R33" s="406"/>
      <c r="S33" s="16">
        <f t="shared" si="2"/>
        <v>22846464</v>
      </c>
      <c r="T33" s="16">
        <f t="shared" si="3"/>
        <v>12602496</v>
      </c>
      <c r="U33" s="16">
        <f t="shared" si="4"/>
        <v>35448960</v>
      </c>
      <c r="V33" s="16">
        <v>31585924.28</v>
      </c>
      <c r="W33" s="16">
        <f t="shared" si="5"/>
        <v>0.2800000011920929</v>
      </c>
      <c r="X33" s="16">
        <f t="shared" si="6"/>
        <v>142278.93693693692</v>
      </c>
      <c r="Y33" s="373" t="s">
        <v>891</v>
      </c>
      <c r="Z33" s="16">
        <v>88.91448107611183</v>
      </c>
      <c r="AA33" s="341">
        <v>86.40935239889926</v>
      </c>
    </row>
    <row r="34" spans="1:27" ht="16.5">
      <c r="A34" s="349">
        <v>24</v>
      </c>
      <c r="B34" s="373" t="s">
        <v>893</v>
      </c>
      <c r="C34" s="374">
        <v>293689</v>
      </c>
      <c r="D34" s="374">
        <v>170111</v>
      </c>
      <c r="E34" s="374">
        <v>0</v>
      </c>
      <c r="F34" s="374">
        <v>0</v>
      </c>
      <c r="G34" s="374">
        <f t="shared" si="0"/>
        <v>463800</v>
      </c>
      <c r="H34" s="486">
        <f>M34/'T5_PLAN_vs_PRFM'!I35</f>
        <v>272423.64545454545</v>
      </c>
      <c r="I34" s="486">
        <f>N34/'T5_PLAN_vs_PRFM'!I35</f>
        <v>156181.07727272727</v>
      </c>
      <c r="J34" s="374">
        <v>0</v>
      </c>
      <c r="K34" s="374">
        <v>0</v>
      </c>
      <c r="L34" s="486">
        <v>428604.72363636363</v>
      </c>
      <c r="M34" s="374">
        <f>57933202+2000000</f>
        <v>59933202</v>
      </c>
      <c r="N34" s="374">
        <f>33513400+846437</f>
        <v>34359837</v>
      </c>
      <c r="O34" s="374"/>
      <c r="P34" s="374"/>
      <c r="Q34" s="374">
        <f t="shared" si="1"/>
        <v>94293039</v>
      </c>
      <c r="R34" s="406"/>
      <c r="S34" s="16">
        <f t="shared" si="2"/>
        <v>65198958</v>
      </c>
      <c r="T34" s="16">
        <f t="shared" si="3"/>
        <v>37764642</v>
      </c>
      <c r="U34" s="16">
        <f t="shared" si="4"/>
        <v>102963600</v>
      </c>
      <c r="V34" s="16">
        <v>94293039.2</v>
      </c>
      <c r="W34" s="16">
        <f t="shared" si="5"/>
        <v>0.20000000298023224</v>
      </c>
      <c r="X34" s="16">
        <f t="shared" si="6"/>
        <v>424743.41891891893</v>
      </c>
      <c r="Y34" s="373" t="s">
        <v>892</v>
      </c>
      <c r="Z34" s="16">
        <v>88.96325701052768</v>
      </c>
      <c r="AA34" s="341">
        <v>86.0807899422154</v>
      </c>
    </row>
    <row r="35" spans="1:27" ht="16.5">
      <c r="A35" s="349">
        <v>25</v>
      </c>
      <c r="B35" s="373" t="s">
        <v>894</v>
      </c>
      <c r="C35" s="374">
        <v>90412</v>
      </c>
      <c r="D35" s="374">
        <v>29215</v>
      </c>
      <c r="E35" s="374">
        <v>0</v>
      </c>
      <c r="F35" s="374">
        <v>0</v>
      </c>
      <c r="G35" s="374">
        <f t="shared" si="0"/>
        <v>119627</v>
      </c>
      <c r="H35" s="486">
        <f>M35/'T5_PLAN_vs_PRFM'!I36</f>
        <v>82853.43693693694</v>
      </c>
      <c r="I35" s="486">
        <f>N35/'T5_PLAN_vs_PRFM'!I36</f>
        <v>27220.067567567567</v>
      </c>
      <c r="J35" s="374">
        <v>0</v>
      </c>
      <c r="K35" s="374">
        <v>0</v>
      </c>
      <c r="L35" s="486">
        <v>110073.5072972973</v>
      </c>
      <c r="M35" s="374">
        <f>17393463+1000000</f>
        <v>18393463</v>
      </c>
      <c r="N35" s="374">
        <f>5409753+60+633042</f>
        <v>6042855</v>
      </c>
      <c r="O35" s="374">
        <v>0</v>
      </c>
      <c r="P35" s="374">
        <v>0</v>
      </c>
      <c r="Q35" s="374">
        <f t="shared" si="1"/>
        <v>24436318</v>
      </c>
      <c r="R35" s="406"/>
      <c r="S35" s="16">
        <f t="shared" si="2"/>
        <v>20071464</v>
      </c>
      <c r="T35" s="16">
        <f t="shared" si="3"/>
        <v>6485730</v>
      </c>
      <c r="U35" s="16">
        <f t="shared" si="4"/>
        <v>26557194</v>
      </c>
      <c r="V35" s="16">
        <v>24436318.62</v>
      </c>
      <c r="W35" s="16">
        <f t="shared" si="5"/>
        <v>0.6200000010430813</v>
      </c>
      <c r="X35" s="16">
        <f t="shared" si="6"/>
        <v>110073.50450450451</v>
      </c>
      <c r="Y35" s="373" t="s">
        <v>870</v>
      </c>
      <c r="Z35" s="16">
        <v>89.42685745436893</v>
      </c>
      <c r="AA35" s="341">
        <v>82.2870424712934</v>
      </c>
    </row>
    <row r="36" spans="1:27" ht="16.5">
      <c r="A36" s="349">
        <v>26</v>
      </c>
      <c r="B36" s="373" t="s">
        <v>895</v>
      </c>
      <c r="C36" s="374">
        <f>63098+6338</f>
        <v>69436</v>
      </c>
      <c r="D36" s="374">
        <v>14519</v>
      </c>
      <c r="E36" s="374">
        <v>0</v>
      </c>
      <c r="F36" s="374">
        <v>0</v>
      </c>
      <c r="G36" s="374">
        <f t="shared" si="0"/>
        <v>83955</v>
      </c>
      <c r="H36" s="486">
        <f>M36/'T5_PLAN_vs_PRFM'!I37</f>
        <v>68528.3918918919</v>
      </c>
      <c r="I36" s="486">
        <f>N36/'T5_PLAN_vs_PRFM'!I37</f>
        <v>13881.351351351352</v>
      </c>
      <c r="J36" s="374">
        <v>0</v>
      </c>
      <c r="K36" s="374">
        <v>0</v>
      </c>
      <c r="L36" s="486">
        <v>72410</v>
      </c>
      <c r="M36" s="374">
        <f>14313303+900000</f>
        <v>15213303</v>
      </c>
      <c r="N36" s="374">
        <f>2519198+562462</f>
        <v>3081660</v>
      </c>
      <c r="O36" s="374"/>
      <c r="P36" s="374"/>
      <c r="Q36" s="374">
        <f t="shared" si="1"/>
        <v>18294963</v>
      </c>
      <c r="R36" s="406"/>
      <c r="S36" s="16">
        <f t="shared" si="2"/>
        <v>15414792</v>
      </c>
      <c r="T36" s="16">
        <f t="shared" si="3"/>
        <v>3223218</v>
      </c>
      <c r="U36" s="16">
        <f t="shared" si="4"/>
        <v>18638010</v>
      </c>
      <c r="V36" s="16">
        <v>18294963.29</v>
      </c>
      <c r="W36" s="16">
        <f t="shared" si="5"/>
        <v>0.28999999910593033</v>
      </c>
      <c r="X36" s="16">
        <f t="shared" si="6"/>
        <v>82409.74324324324</v>
      </c>
      <c r="Y36" s="373" t="s">
        <v>899</v>
      </c>
      <c r="Z36" s="16">
        <v>89.4309233513561</v>
      </c>
      <c r="AA36" s="341">
        <v>84.32823061343133</v>
      </c>
    </row>
    <row r="37" spans="1:27" ht="16.5">
      <c r="A37" s="349">
        <v>27</v>
      </c>
      <c r="B37" s="373" t="s">
        <v>896</v>
      </c>
      <c r="C37" s="374">
        <v>110018</v>
      </c>
      <c r="D37" s="374">
        <v>69738</v>
      </c>
      <c r="E37" s="374">
        <v>0</v>
      </c>
      <c r="F37" s="374">
        <v>0</v>
      </c>
      <c r="G37" s="374">
        <f t="shared" si="0"/>
        <v>179756</v>
      </c>
      <c r="H37" s="486">
        <f>M37/'T5_PLAN_vs_PRFM'!I38</f>
        <v>107703.2972972973</v>
      </c>
      <c r="I37" s="486">
        <f>N37/'T5_PLAN_vs_PRFM'!I38</f>
        <v>57622.56306306306</v>
      </c>
      <c r="J37" s="374">
        <v>0</v>
      </c>
      <c r="K37" s="374">
        <v>0</v>
      </c>
      <c r="L37" s="486">
        <v>165325.8625225225</v>
      </c>
      <c r="M37" s="374">
        <f>23633600+276532</f>
        <v>23910132</v>
      </c>
      <c r="N37" s="374">
        <f>12792209</f>
        <v>12792209</v>
      </c>
      <c r="O37" s="374">
        <v>0</v>
      </c>
      <c r="P37" s="374">
        <v>0</v>
      </c>
      <c r="Q37" s="374">
        <f t="shared" si="1"/>
        <v>36702341</v>
      </c>
      <c r="R37" s="406"/>
      <c r="S37" s="16">
        <f t="shared" si="2"/>
        <v>24423996</v>
      </c>
      <c r="T37" s="16">
        <f t="shared" si="3"/>
        <v>15481836</v>
      </c>
      <c r="U37" s="16">
        <f t="shared" si="4"/>
        <v>39905832</v>
      </c>
      <c r="V37" s="16">
        <v>36702341.48</v>
      </c>
      <c r="W37" s="16">
        <f t="shared" si="5"/>
        <v>0.47999999672174454</v>
      </c>
      <c r="X37" s="16">
        <f t="shared" si="6"/>
        <v>165325.86036036036</v>
      </c>
      <c r="Y37" s="373" t="s">
        <v>893</v>
      </c>
      <c r="Z37" s="16">
        <v>91.5790036478911</v>
      </c>
      <c r="AA37" s="341">
        <v>97.36781291945611</v>
      </c>
    </row>
    <row r="38" spans="1:27" ht="16.5">
      <c r="A38" s="349">
        <v>28</v>
      </c>
      <c r="B38" s="373" t="s">
        <v>897</v>
      </c>
      <c r="C38" s="374">
        <v>121038</v>
      </c>
      <c r="D38" s="374">
        <v>45063</v>
      </c>
      <c r="E38" s="374">
        <v>0</v>
      </c>
      <c r="F38" s="374">
        <v>0</v>
      </c>
      <c r="G38" s="374">
        <f t="shared" si="0"/>
        <v>166101</v>
      </c>
      <c r="H38" s="486">
        <f>M38/'T5_PLAN_vs_PRFM'!I39</f>
        <v>117351.5990990991</v>
      </c>
      <c r="I38" s="486">
        <f>N38/'T5_PLAN_vs_PRFM'!I39</f>
        <v>46461.93693693694</v>
      </c>
      <c r="J38" s="374">
        <v>0</v>
      </c>
      <c r="K38" s="374">
        <v>0</v>
      </c>
      <c r="L38" s="486">
        <v>163813.53675675674</v>
      </c>
      <c r="M38" s="374">
        <f>25252055+800000</f>
        <v>26052055</v>
      </c>
      <c r="N38" s="374">
        <f>9966103+348447</f>
        <v>10314550</v>
      </c>
      <c r="O38" s="374"/>
      <c r="P38" s="374"/>
      <c r="Q38" s="374">
        <f t="shared" si="1"/>
        <v>36366605</v>
      </c>
      <c r="R38" s="406"/>
      <c r="S38" s="16">
        <f t="shared" si="2"/>
        <v>26870436</v>
      </c>
      <c r="T38" s="16">
        <f t="shared" si="3"/>
        <v>10003986</v>
      </c>
      <c r="U38" s="16">
        <f t="shared" si="4"/>
        <v>36874422</v>
      </c>
      <c r="V38" s="16">
        <v>36366605.16</v>
      </c>
      <c r="W38" s="16">
        <f t="shared" si="5"/>
        <v>0.1599999964237213</v>
      </c>
      <c r="X38" s="16">
        <f t="shared" si="6"/>
        <v>163813.53603603604</v>
      </c>
      <c r="Y38" s="373" t="s">
        <v>896</v>
      </c>
      <c r="Z38" s="16">
        <v>91.9723738625472</v>
      </c>
      <c r="AA38" s="341">
        <v>86.60585235396861</v>
      </c>
    </row>
    <row r="39" spans="1:27" ht="16.5">
      <c r="A39" s="349">
        <v>29</v>
      </c>
      <c r="B39" s="373" t="s">
        <v>898</v>
      </c>
      <c r="C39" s="374">
        <v>33674</v>
      </c>
      <c r="D39" s="374">
        <v>6092</v>
      </c>
      <c r="E39" s="374">
        <v>0</v>
      </c>
      <c r="F39" s="374">
        <v>0</v>
      </c>
      <c r="G39" s="374">
        <f t="shared" si="0"/>
        <v>39766</v>
      </c>
      <c r="H39" s="486">
        <f>M39/'T5_PLAN_vs_PRFM'!I40</f>
        <v>32582.563876651984</v>
      </c>
      <c r="I39" s="486">
        <f>N39/'T5_PLAN_vs_PRFM'!I40</f>
        <v>5785.242290748899</v>
      </c>
      <c r="J39" s="374">
        <v>0</v>
      </c>
      <c r="K39" s="374">
        <v>0</v>
      </c>
      <c r="L39" s="486">
        <v>38367.8072246696</v>
      </c>
      <c r="M39" s="374">
        <f>6496242+700000+200000</f>
        <v>7396242</v>
      </c>
      <c r="N39" s="374">
        <f>1093584+219666</f>
        <v>1313250</v>
      </c>
      <c r="O39" s="374">
        <v>0</v>
      </c>
      <c r="P39" s="374">
        <v>0</v>
      </c>
      <c r="Q39" s="374">
        <f t="shared" si="1"/>
        <v>8709492</v>
      </c>
      <c r="R39" s="406"/>
      <c r="S39" s="16">
        <f t="shared" si="2"/>
        <v>7475628</v>
      </c>
      <c r="T39" s="16">
        <f t="shared" si="3"/>
        <v>1352424</v>
      </c>
      <c r="U39" s="16">
        <f t="shared" si="4"/>
        <v>8828052</v>
      </c>
      <c r="V39" s="16">
        <v>8709492.24</v>
      </c>
      <c r="W39" s="16">
        <f t="shared" si="5"/>
        <v>0.24000000022351742</v>
      </c>
      <c r="X39" s="16">
        <f t="shared" si="6"/>
        <v>39231.94594594595</v>
      </c>
      <c r="Y39" s="373" t="s">
        <v>894</v>
      </c>
      <c r="Z39" s="16">
        <v>92.01393038737451</v>
      </c>
      <c r="AA39" s="341">
        <v>78.22499830911592</v>
      </c>
    </row>
    <row r="40" spans="1:27" ht="16.5">
      <c r="A40" s="349">
        <v>30</v>
      </c>
      <c r="B40" s="373" t="s">
        <v>899</v>
      </c>
      <c r="C40" s="374">
        <v>169077</v>
      </c>
      <c r="D40" s="374">
        <v>149069</v>
      </c>
      <c r="E40" s="374">
        <v>0</v>
      </c>
      <c r="F40" s="374"/>
      <c r="G40" s="374">
        <f>C40+D40+E40+F40</f>
        <v>318146</v>
      </c>
      <c r="H40" s="486">
        <f>M40/'T5_PLAN_vs_PRFM'!I41</f>
        <v>155646.65765765766</v>
      </c>
      <c r="I40" s="486">
        <f>N40/'T5_PLAN_vs_PRFM'!I41</f>
        <v>128874.24774774775</v>
      </c>
      <c r="J40" s="374">
        <v>0</v>
      </c>
      <c r="K40" s="374">
        <v>0</v>
      </c>
      <c r="L40" s="486">
        <v>284520.9063963964</v>
      </c>
      <c r="M40" s="374">
        <f>30964641+3588917</f>
        <v>34553558</v>
      </c>
      <c r="N40" s="374">
        <v>28610083</v>
      </c>
      <c r="O40" s="374"/>
      <c r="P40" s="374"/>
      <c r="Q40" s="374">
        <f t="shared" si="1"/>
        <v>63163641</v>
      </c>
      <c r="R40" s="406"/>
      <c r="S40" s="16">
        <f t="shared" si="2"/>
        <v>37535094</v>
      </c>
      <c r="T40" s="16">
        <f t="shared" si="3"/>
        <v>33093318</v>
      </c>
      <c r="U40" s="16">
        <f t="shared" si="4"/>
        <v>70628412</v>
      </c>
      <c r="V40" s="16">
        <v>63163641.22</v>
      </c>
      <c r="W40" s="16">
        <f t="shared" si="5"/>
        <v>0.2199999988079071</v>
      </c>
      <c r="X40" s="16">
        <f t="shared" si="6"/>
        <v>284520.9054054054</v>
      </c>
      <c r="Y40" s="373" t="s">
        <v>875</v>
      </c>
      <c r="Z40" s="16">
        <v>92.94303850251548</v>
      </c>
      <c r="AA40" s="341">
        <v>91.51491351782988</v>
      </c>
    </row>
    <row r="41" spans="1:27" ht="16.5">
      <c r="A41" s="349">
        <v>31</v>
      </c>
      <c r="B41" s="373" t="s">
        <v>900</v>
      </c>
      <c r="C41" s="374">
        <v>155760</v>
      </c>
      <c r="D41" s="374">
        <v>169539</v>
      </c>
      <c r="E41" s="374">
        <v>0</v>
      </c>
      <c r="F41" s="374">
        <v>0</v>
      </c>
      <c r="G41" s="374">
        <f t="shared" si="0"/>
        <v>325299</v>
      </c>
      <c r="H41" s="486">
        <f>M41/'T5_PLAN_vs_PRFM'!I42</f>
        <v>119974.81531531531</v>
      </c>
      <c r="I41" s="486">
        <f>N41/'T5_PLAN_vs_PRFM'!I42</f>
        <v>128897.73873873874</v>
      </c>
      <c r="J41" s="374">
        <v>0</v>
      </c>
      <c r="K41" s="374">
        <v>0</v>
      </c>
      <c r="L41" s="486">
        <v>253873</v>
      </c>
      <c r="M41" s="374">
        <f>24514409+120000+2000000</f>
        <v>26634409</v>
      </c>
      <c r="N41" s="374">
        <f>27557423+64874+993001</f>
        <v>28615298</v>
      </c>
      <c r="O41" s="374">
        <v>0</v>
      </c>
      <c r="P41" s="374">
        <v>0</v>
      </c>
      <c r="Q41" s="374">
        <f t="shared" si="1"/>
        <v>55249707</v>
      </c>
      <c r="R41" s="406"/>
      <c r="S41" s="16">
        <f t="shared" si="2"/>
        <v>34578720</v>
      </c>
      <c r="T41" s="16">
        <f t="shared" si="3"/>
        <v>37637658</v>
      </c>
      <c r="U41" s="16">
        <f t="shared" si="4"/>
        <v>72216378</v>
      </c>
      <c r="V41" s="16">
        <v>55249707.84</v>
      </c>
      <c r="W41" s="16">
        <f t="shared" si="5"/>
        <v>0.8400000035762787</v>
      </c>
      <c r="X41" s="16">
        <f t="shared" si="6"/>
        <v>248872.55405405405</v>
      </c>
      <c r="Y41" s="373" t="s">
        <v>872</v>
      </c>
      <c r="Z41" s="16">
        <v>93.99456216610048</v>
      </c>
      <c r="AA41" s="341">
        <v>92.51636119862017</v>
      </c>
    </row>
    <row r="42" spans="1:27" ht="16.5">
      <c r="A42" s="349">
        <v>32</v>
      </c>
      <c r="B42" s="373" t="s">
        <v>901</v>
      </c>
      <c r="C42" s="374">
        <v>135589</v>
      </c>
      <c r="D42" s="374">
        <v>28460</v>
      </c>
      <c r="E42" s="374">
        <v>0</v>
      </c>
      <c r="F42" s="374">
        <v>0</v>
      </c>
      <c r="G42" s="374">
        <f t="shared" si="0"/>
        <v>164049</v>
      </c>
      <c r="H42" s="486">
        <f>M42/'T5_PLAN_vs_PRFM'!I43</f>
        <v>118532.70909090909</v>
      </c>
      <c r="I42" s="486">
        <f>N42/'T5_PLAN_vs_PRFM'!I43</f>
        <v>25330.590909090908</v>
      </c>
      <c r="J42" s="374">
        <v>0</v>
      </c>
      <c r="K42" s="374">
        <v>0</v>
      </c>
      <c r="L42" s="486">
        <v>143863.29995454545</v>
      </c>
      <c r="M42" s="374">
        <f>24877196+1200000</f>
        <v>26077196</v>
      </c>
      <c r="N42" s="374">
        <f>5018287+554443</f>
        <v>5572730</v>
      </c>
      <c r="O42" s="374">
        <v>0</v>
      </c>
      <c r="P42" s="374">
        <v>0</v>
      </c>
      <c r="Q42" s="374">
        <f t="shared" si="1"/>
        <v>31649926</v>
      </c>
      <c r="R42" s="406"/>
      <c r="S42" s="16">
        <f t="shared" si="2"/>
        <v>30100758</v>
      </c>
      <c r="T42" s="16">
        <f t="shared" si="3"/>
        <v>6318120</v>
      </c>
      <c r="U42" s="16">
        <f t="shared" si="4"/>
        <v>36418878</v>
      </c>
      <c r="V42" s="16">
        <v>31649925.990000002</v>
      </c>
      <c r="W42" s="16">
        <f t="shared" si="5"/>
        <v>-0.009999997913837433</v>
      </c>
      <c r="X42" s="16">
        <f t="shared" si="6"/>
        <v>142567.23423423423</v>
      </c>
      <c r="Y42" s="373" t="s">
        <v>880</v>
      </c>
      <c r="Z42" s="16">
        <v>94.72886677479163</v>
      </c>
      <c r="AA42" s="341">
        <v>85.84281981027914</v>
      </c>
    </row>
    <row r="43" spans="1:27" ht="16.5">
      <c r="A43" s="349">
        <v>33</v>
      </c>
      <c r="B43" s="373" t="s">
        <v>902</v>
      </c>
      <c r="C43" s="374">
        <v>41627</v>
      </c>
      <c r="D43" s="374">
        <v>15190</v>
      </c>
      <c r="E43" s="374">
        <v>0</v>
      </c>
      <c r="F43" s="374">
        <v>0</v>
      </c>
      <c r="G43" s="374">
        <f t="shared" si="0"/>
        <v>56817</v>
      </c>
      <c r="H43" s="486">
        <f>M43/'T5_PLAN_vs_PRFM'!I44</f>
        <v>35972.8963963964</v>
      </c>
      <c r="I43" s="486">
        <f>N43/'T5_PLAN_vs_PRFM'!I44</f>
        <v>11238.049549549549</v>
      </c>
      <c r="J43" s="374">
        <v>0</v>
      </c>
      <c r="K43" s="374">
        <v>0</v>
      </c>
      <c r="L43" s="486">
        <v>47210.94554054054</v>
      </c>
      <c r="M43" s="374">
        <f>7798540+187443</f>
        <v>7985983</v>
      </c>
      <c r="N43" s="374">
        <v>2494847</v>
      </c>
      <c r="O43" s="374">
        <v>0</v>
      </c>
      <c r="P43" s="374">
        <v>0</v>
      </c>
      <c r="Q43" s="374">
        <f t="shared" si="1"/>
        <v>10480830</v>
      </c>
      <c r="R43" s="406"/>
      <c r="S43" s="16">
        <f t="shared" si="2"/>
        <v>9241194</v>
      </c>
      <c r="T43" s="16">
        <f t="shared" si="3"/>
        <v>3372180</v>
      </c>
      <c r="U43" s="16">
        <f t="shared" si="4"/>
        <v>12613374</v>
      </c>
      <c r="V43" s="16">
        <v>10480829.91</v>
      </c>
      <c r="W43" s="16">
        <f t="shared" si="5"/>
        <v>-0.08999999985098839</v>
      </c>
      <c r="X43" s="16">
        <f t="shared" si="6"/>
        <v>47210.94594594595</v>
      </c>
      <c r="Y43" s="373" t="s">
        <v>895</v>
      </c>
      <c r="Z43" s="16">
        <v>98.15942259930111</v>
      </c>
      <c r="AA43" s="341">
        <v>97.99228680207545</v>
      </c>
    </row>
    <row r="44" spans="1:27" ht="16.5">
      <c r="A44" s="349">
        <v>34</v>
      </c>
      <c r="B44" s="373" t="s">
        <v>903</v>
      </c>
      <c r="C44" s="374">
        <v>63724</v>
      </c>
      <c r="D44" s="374">
        <v>17281</v>
      </c>
      <c r="E44" s="374">
        <v>0</v>
      </c>
      <c r="F44" s="374">
        <v>0</v>
      </c>
      <c r="G44" s="374">
        <f t="shared" si="0"/>
        <v>81005</v>
      </c>
      <c r="H44" s="486">
        <f>M44/'T5_PLAN_vs_PRFM'!I45</f>
        <v>51751.21363636364</v>
      </c>
      <c r="I44" s="486">
        <f>N44/'T5_PLAN_vs_PRFM'!I45</f>
        <v>16361.404545454545</v>
      </c>
      <c r="J44" s="374">
        <v>0</v>
      </c>
      <c r="K44" s="374">
        <v>0</v>
      </c>
      <c r="L44" s="486">
        <v>68112.62145454546</v>
      </c>
      <c r="M44" s="374">
        <f>11274531+110736</f>
        <v>11385267</v>
      </c>
      <c r="N44" s="374">
        <v>3599509</v>
      </c>
      <c r="O44" s="374">
        <v>0</v>
      </c>
      <c r="P44" s="374">
        <v>0</v>
      </c>
      <c r="Q44" s="374">
        <f t="shared" si="1"/>
        <v>14984776</v>
      </c>
      <c r="R44" s="406"/>
      <c r="S44" s="16">
        <f t="shared" si="2"/>
        <v>14146728</v>
      </c>
      <c r="T44" s="16">
        <f t="shared" si="3"/>
        <v>3836382</v>
      </c>
      <c r="U44" s="16">
        <f t="shared" si="4"/>
        <v>17983110</v>
      </c>
      <c r="V44" s="16">
        <v>14984776.72</v>
      </c>
      <c r="W44" s="16">
        <f t="shared" si="5"/>
        <v>0.7200000006705523</v>
      </c>
      <c r="X44" s="16">
        <f t="shared" si="6"/>
        <v>67498.99099099099</v>
      </c>
      <c r="Y44" s="373" t="s">
        <v>897</v>
      </c>
      <c r="Z44" s="16">
        <v>98.62284756626151</v>
      </c>
      <c r="AA44" s="341">
        <v>95.97235317918683</v>
      </c>
    </row>
    <row r="45" spans="1:27" ht="16.5">
      <c r="A45" s="349">
        <v>35</v>
      </c>
      <c r="B45" s="373" t="s">
        <v>904</v>
      </c>
      <c r="C45" s="374">
        <v>150362</v>
      </c>
      <c r="D45" s="374">
        <v>31103</v>
      </c>
      <c r="E45" s="374">
        <v>0</v>
      </c>
      <c r="F45" s="374">
        <v>56</v>
      </c>
      <c r="G45" s="374">
        <f t="shared" si="0"/>
        <v>181521</v>
      </c>
      <c r="H45" s="486">
        <f>M45/'T5_PLAN_vs_PRFM'!I46</f>
        <v>133835.56306306308</v>
      </c>
      <c r="I45" s="486">
        <f>N45/'T5_PLAN_vs_PRFM'!I46</f>
        <v>26865.57207207207</v>
      </c>
      <c r="J45" s="374">
        <v>0</v>
      </c>
      <c r="K45" s="374">
        <v>56</v>
      </c>
      <c r="L45" s="486">
        <v>160737.31725225225</v>
      </c>
      <c r="M45" s="374">
        <f>28711495+1000000</f>
        <v>29711495</v>
      </c>
      <c r="N45" s="374">
        <f>5683942+280207+8</f>
        <v>5964157</v>
      </c>
      <c r="O45" s="374">
        <v>0</v>
      </c>
      <c r="P45" s="374">
        <v>8040</v>
      </c>
      <c r="Q45" s="374">
        <f t="shared" si="1"/>
        <v>35683692</v>
      </c>
      <c r="R45" s="406"/>
      <c r="S45" s="16">
        <f t="shared" si="2"/>
        <v>33380364</v>
      </c>
      <c r="T45" s="16">
        <f t="shared" si="3"/>
        <v>6904866</v>
      </c>
      <c r="U45" s="16">
        <f t="shared" si="4"/>
        <v>40285230</v>
      </c>
      <c r="V45" s="16">
        <v>35683684.43</v>
      </c>
      <c r="W45" s="16">
        <f t="shared" si="5"/>
        <v>-7.570000000298023</v>
      </c>
      <c r="X45" s="16">
        <f t="shared" si="6"/>
        <v>160737.35135135136</v>
      </c>
      <c r="Y45" s="373" t="s">
        <v>898</v>
      </c>
      <c r="Z45" s="16">
        <v>98.65700836379305</v>
      </c>
      <c r="AA45" s="341">
        <v>95.19186696578001</v>
      </c>
    </row>
    <row r="46" spans="1:27" ht="16.5">
      <c r="A46" s="830" t="s">
        <v>19</v>
      </c>
      <c r="B46" s="831"/>
      <c r="C46" s="374">
        <f>SUM(C11:C45)</f>
        <v>4317763</v>
      </c>
      <c r="D46" s="374">
        <f aca="true" t="shared" si="7" ref="D46:Q46">SUM(D11:D45)</f>
        <v>2337000</v>
      </c>
      <c r="E46" s="374">
        <f t="shared" si="7"/>
        <v>2678</v>
      </c>
      <c r="F46" s="374">
        <f t="shared" si="7"/>
        <v>349</v>
      </c>
      <c r="G46" s="374">
        <f t="shared" si="7"/>
        <v>6657790</v>
      </c>
      <c r="H46" s="657">
        <f>M46/'T5_PLAN_vs_PRFM'!I47</f>
        <v>3783620.8333333335</v>
      </c>
      <c r="I46" s="657">
        <f>N46/'T5_PLAN_vs_PRFM'!I47</f>
        <v>1905205.3738738738</v>
      </c>
      <c r="J46" s="657">
        <f t="shared" si="7"/>
        <v>8.55591054313099</v>
      </c>
      <c r="K46" s="658">
        <f t="shared" si="7"/>
        <v>349</v>
      </c>
      <c r="L46" s="486">
        <v>5699070.288331019</v>
      </c>
      <c r="M46" s="374">
        <f t="shared" si="7"/>
        <v>839963825</v>
      </c>
      <c r="N46" s="374">
        <f t="shared" si="7"/>
        <v>422955593</v>
      </c>
      <c r="O46" s="374">
        <f t="shared" si="7"/>
        <v>0</v>
      </c>
      <c r="P46" s="374">
        <f t="shared" si="7"/>
        <v>64674</v>
      </c>
      <c r="Q46" s="374">
        <f t="shared" si="7"/>
        <v>1262984092</v>
      </c>
      <c r="R46" s="406"/>
      <c r="S46" s="16">
        <f t="shared" si="2"/>
        <v>958543386</v>
      </c>
      <c r="T46" s="16">
        <f t="shared" si="3"/>
        <v>518814000</v>
      </c>
      <c r="U46" s="16">
        <f t="shared" si="4"/>
        <v>1477357386</v>
      </c>
      <c r="V46" s="16">
        <v>1262984092.47</v>
      </c>
      <c r="W46" s="16">
        <f t="shared" si="5"/>
        <v>0.4700000286102295</v>
      </c>
      <c r="X46" s="16">
        <f t="shared" si="6"/>
        <v>5689117.531531531</v>
      </c>
      <c r="Z46" s="16">
        <v>85.45054036747226</v>
      </c>
      <c r="AA46" s="341">
        <v>83.39172704306439</v>
      </c>
    </row>
    <row r="47" spans="1:4" ht="12.75">
      <c r="A47" s="11" t="s">
        <v>8</v>
      </c>
      <c r="B47"/>
      <c r="C47"/>
      <c r="D47"/>
    </row>
    <row r="48" spans="1:4" ht="12.75">
      <c r="A48" t="s">
        <v>9</v>
      </c>
      <c r="B48"/>
      <c r="C48"/>
      <c r="D48"/>
    </row>
    <row r="49" spans="1:12" ht="12.75">
      <c r="A49" t="s">
        <v>10</v>
      </c>
      <c r="B49"/>
      <c r="C49"/>
      <c r="D49"/>
      <c r="I49" s="479"/>
      <c r="J49" s="479"/>
      <c r="K49" s="479"/>
      <c r="L49" s="479"/>
    </row>
    <row r="50" spans="1:12" ht="12.75">
      <c r="A50" s="16" t="s">
        <v>443</v>
      </c>
      <c r="H50" s="407"/>
      <c r="I50" s="407"/>
      <c r="J50" s="479"/>
      <c r="K50" s="479"/>
      <c r="L50" s="479"/>
    </row>
    <row r="51" spans="3:16" ht="12.75" hidden="1">
      <c r="C51" s="16" t="s">
        <v>444</v>
      </c>
      <c r="E51" s="13"/>
      <c r="F51" s="13"/>
      <c r="G51" s="13"/>
      <c r="H51" s="408"/>
      <c r="I51" s="408"/>
      <c r="J51" s="408"/>
      <c r="K51" s="408"/>
      <c r="L51" s="408"/>
      <c r="M51" s="13"/>
      <c r="P51" s="16"/>
    </row>
    <row r="52" spans="1:17" ht="12.75">
      <c r="A52" s="15" t="s">
        <v>12</v>
      </c>
      <c r="B52" s="15"/>
      <c r="C52" s="15"/>
      <c r="D52" s="15"/>
      <c r="E52" s="15"/>
      <c r="F52" s="15"/>
      <c r="G52" s="15"/>
      <c r="I52" s="480"/>
      <c r="O52" s="827"/>
      <c r="P52" s="827"/>
      <c r="Q52" s="828"/>
    </row>
    <row r="53" spans="1:17" ht="12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8" ht="12.75" customHeight="1">
      <c r="A54" s="83"/>
      <c r="B54" s="83"/>
      <c r="C54" s="83"/>
      <c r="D54" s="83"/>
      <c r="E54" s="83"/>
      <c r="F54" s="748" t="s">
        <v>1021</v>
      </c>
      <c r="G54" s="748"/>
      <c r="H54" s="748"/>
      <c r="I54" s="748"/>
      <c r="L54" s="83"/>
      <c r="M54" s="83"/>
      <c r="N54" s="748" t="s">
        <v>1024</v>
      </c>
      <c r="O54" s="748"/>
      <c r="P54" s="748"/>
      <c r="Q54" s="748"/>
      <c r="R54" s="83"/>
    </row>
    <row r="55" spans="1:17" ht="12.75" customHeight="1">
      <c r="A55" s="15"/>
      <c r="B55" s="15"/>
      <c r="C55" s="15"/>
      <c r="D55" s="15"/>
      <c r="E55" s="15"/>
      <c r="F55" s="748" t="s">
        <v>1022</v>
      </c>
      <c r="G55" s="748"/>
      <c r="H55" s="748"/>
      <c r="I55" s="748"/>
      <c r="N55" s="748" t="s">
        <v>1025</v>
      </c>
      <c r="O55" s="748"/>
      <c r="P55" s="748"/>
      <c r="Q55" s="748"/>
    </row>
    <row r="56" spans="1:17" ht="12.75">
      <c r="A56" s="531"/>
      <c r="B56" s="531"/>
      <c r="C56" s="531"/>
      <c r="D56" s="531"/>
      <c r="E56" s="531"/>
      <c r="F56" s="735" t="s">
        <v>1023</v>
      </c>
      <c r="G56" s="735"/>
      <c r="H56" s="735"/>
      <c r="I56" s="735"/>
      <c r="L56" s="531"/>
      <c r="N56" s="735" t="s">
        <v>1023</v>
      </c>
      <c r="O56" s="735"/>
      <c r="P56" s="735"/>
      <c r="Q56" s="735"/>
    </row>
  </sheetData>
  <sheetProtection/>
  <mergeCells count="19">
    <mergeCell ref="O52:Q52"/>
    <mergeCell ref="N7:Q7"/>
    <mergeCell ref="A46:B46"/>
    <mergeCell ref="A7:C7"/>
    <mergeCell ref="A5:O5"/>
    <mergeCell ref="O1:Q1"/>
    <mergeCell ref="A2:L2"/>
    <mergeCell ref="A3:L3"/>
    <mergeCell ref="A8:A9"/>
    <mergeCell ref="B8:B9"/>
    <mergeCell ref="C8:G8"/>
    <mergeCell ref="H8:L8"/>
    <mergeCell ref="M8:Q8"/>
    <mergeCell ref="F54:I54"/>
    <mergeCell ref="F55:I55"/>
    <mergeCell ref="F56:I56"/>
    <mergeCell ref="N54:Q54"/>
    <mergeCell ref="N55:Q55"/>
    <mergeCell ref="N56:Q56"/>
  </mergeCells>
  <printOptions horizontalCentered="1"/>
  <pageMargins left="0.7086614173228347" right="0.7086614173228347" top="0.2362204724409449" bottom="0" header="0.31496062992125984" footer="0.2"/>
  <pageSetup fitToHeight="1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view="pageBreakPreview" zoomScale="80" zoomScaleNormal="85" zoomScaleSheetLayoutView="80" zoomScalePageLayoutView="0" workbookViewId="0" topLeftCell="A7">
      <pane xSplit="2" ySplit="4" topLeftCell="C38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H46" sqref="H46:K46"/>
    </sheetView>
  </sheetViews>
  <sheetFormatPr defaultColWidth="9.140625" defaultRowHeight="12.75"/>
  <cols>
    <col min="1" max="1" width="7.140625" style="16" customWidth="1"/>
    <col min="2" max="2" width="11.421875" style="16" bestFit="1" customWidth="1"/>
    <col min="3" max="3" width="11.421875" style="16" customWidth="1"/>
    <col min="4" max="4" width="10.57421875" style="16" customWidth="1"/>
    <col min="5" max="5" width="10.7109375" style="16" customWidth="1"/>
    <col min="6" max="6" width="11.00390625" style="16" customWidth="1"/>
    <col min="7" max="7" width="12.140625" style="16" customWidth="1"/>
    <col min="8" max="8" width="11.8515625" style="406" customWidth="1"/>
    <col min="9" max="9" width="10.8515625" style="406" customWidth="1"/>
    <col min="10" max="10" width="10.28125" style="406" customWidth="1"/>
    <col min="11" max="11" width="11.28125" style="406" customWidth="1"/>
    <col min="12" max="12" width="11.7109375" style="406" customWidth="1"/>
    <col min="13" max="13" width="13.28125" style="16" customWidth="1"/>
    <col min="14" max="14" width="14.7109375" style="16" customWidth="1"/>
    <col min="15" max="15" width="12.140625" style="16" customWidth="1"/>
    <col min="16" max="16" width="11.140625" style="16" customWidth="1"/>
    <col min="17" max="17" width="15.140625" style="16" customWidth="1"/>
    <col min="18" max="18" width="9.140625" style="16" hidden="1" customWidth="1"/>
    <col min="19" max="19" width="10.57421875" style="16" bestFit="1" customWidth="1"/>
    <col min="20" max="22" width="11.7109375" style="16" bestFit="1" customWidth="1"/>
    <col min="23" max="23" width="13.57421875" style="571" customWidth="1"/>
    <col min="24" max="24" width="11.00390625" style="48" customWidth="1"/>
    <col min="25" max="16384" width="9.140625" style="16" customWidth="1"/>
  </cols>
  <sheetData>
    <row r="1" spans="1:18" ht="12.75" customHeight="1">
      <c r="A1" s="350"/>
      <c r="B1" s="350"/>
      <c r="C1" s="350"/>
      <c r="D1" s="350"/>
      <c r="E1" s="350"/>
      <c r="F1" s="350"/>
      <c r="G1" s="350"/>
      <c r="H1" s="481"/>
      <c r="I1" s="481"/>
      <c r="J1" s="481"/>
      <c r="K1" s="481"/>
      <c r="L1" s="481"/>
      <c r="M1" s="350"/>
      <c r="N1" s="350"/>
      <c r="O1" s="814" t="s">
        <v>61</v>
      </c>
      <c r="P1" s="814"/>
      <c r="Q1" s="814"/>
      <c r="R1" s="350"/>
    </row>
    <row r="2" spans="1:18" ht="16.5">
      <c r="A2" s="816" t="s">
        <v>0</v>
      </c>
      <c r="B2" s="816"/>
      <c r="C2" s="816"/>
      <c r="D2" s="816"/>
      <c r="E2" s="816"/>
      <c r="F2" s="816"/>
      <c r="G2" s="816"/>
      <c r="H2" s="816"/>
      <c r="I2" s="816"/>
      <c r="J2" s="816"/>
      <c r="K2" s="816"/>
      <c r="L2" s="816"/>
      <c r="M2" s="482"/>
      <c r="N2" s="482"/>
      <c r="O2" s="482"/>
      <c r="P2" s="482"/>
      <c r="Q2" s="350"/>
      <c r="R2" s="350"/>
    </row>
    <row r="3" spans="1:18" ht="16.5">
      <c r="A3" s="816" t="s">
        <v>656</v>
      </c>
      <c r="B3" s="816"/>
      <c r="C3" s="816"/>
      <c r="D3" s="816"/>
      <c r="E3" s="816"/>
      <c r="F3" s="816"/>
      <c r="G3" s="816"/>
      <c r="H3" s="816"/>
      <c r="I3" s="816"/>
      <c r="J3" s="816"/>
      <c r="K3" s="816"/>
      <c r="L3" s="816"/>
      <c r="M3" s="368"/>
      <c r="N3" s="368"/>
      <c r="O3" s="368"/>
      <c r="P3" s="368"/>
      <c r="Q3" s="350"/>
      <c r="R3" s="350"/>
    </row>
    <row r="4" spans="1:18" ht="11.25" customHeight="1">
      <c r="A4" s="350"/>
      <c r="B4" s="350"/>
      <c r="C4" s="350"/>
      <c r="D4" s="350"/>
      <c r="E4" s="350"/>
      <c r="F4" s="350"/>
      <c r="G4" s="350"/>
      <c r="H4" s="481"/>
      <c r="I4" s="481"/>
      <c r="J4" s="481"/>
      <c r="K4" s="481"/>
      <c r="L4" s="481"/>
      <c r="M4" s="350"/>
      <c r="N4" s="350"/>
      <c r="O4" s="350"/>
      <c r="P4" s="350"/>
      <c r="Q4" s="350"/>
      <c r="R4" s="350"/>
    </row>
    <row r="5" spans="1:18" ht="16.5">
      <c r="A5" s="813" t="s">
        <v>666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350"/>
      <c r="N5" s="350"/>
      <c r="O5" s="350"/>
      <c r="P5" s="350"/>
      <c r="Q5" s="350"/>
      <c r="R5" s="350"/>
    </row>
    <row r="6" spans="1:18" ht="16.5">
      <c r="A6" s="350"/>
      <c r="B6" s="350"/>
      <c r="C6" s="350"/>
      <c r="D6" s="350"/>
      <c r="E6" s="350"/>
      <c r="F6" s="350"/>
      <c r="G6" s="350"/>
      <c r="H6" s="481"/>
      <c r="I6" s="481"/>
      <c r="J6" s="481"/>
      <c r="K6" s="481"/>
      <c r="L6" s="481"/>
      <c r="M6" s="350"/>
      <c r="N6" s="350"/>
      <c r="O6" s="350"/>
      <c r="P6" s="350"/>
      <c r="Q6" s="350"/>
      <c r="R6" s="350"/>
    </row>
    <row r="7" spans="1:18" ht="17.25" customHeight="1">
      <c r="A7" s="838" t="s">
        <v>1004</v>
      </c>
      <c r="B7" s="838"/>
      <c r="C7" s="838"/>
      <c r="D7" s="350"/>
      <c r="E7" s="350"/>
      <c r="F7" s="350"/>
      <c r="G7" s="350"/>
      <c r="H7" s="481"/>
      <c r="I7" s="481"/>
      <c r="J7" s="481"/>
      <c r="K7" s="481"/>
      <c r="L7" s="481"/>
      <c r="M7" s="350"/>
      <c r="N7" s="829" t="s">
        <v>821</v>
      </c>
      <c r="O7" s="829"/>
      <c r="P7" s="829"/>
      <c r="Q7" s="829"/>
      <c r="R7" s="829"/>
    </row>
    <row r="8" spans="1:24" s="15" customFormat="1" ht="45.75" customHeight="1">
      <c r="A8" s="836" t="s">
        <v>2</v>
      </c>
      <c r="B8" s="836" t="s">
        <v>3</v>
      </c>
      <c r="C8" s="818" t="s">
        <v>667</v>
      </c>
      <c r="D8" s="819"/>
      <c r="E8" s="819"/>
      <c r="F8" s="819"/>
      <c r="G8" s="819"/>
      <c r="H8" s="823" t="s">
        <v>702</v>
      </c>
      <c r="I8" s="832"/>
      <c r="J8" s="832"/>
      <c r="K8" s="832"/>
      <c r="L8" s="832"/>
      <c r="M8" s="824" t="s">
        <v>112</v>
      </c>
      <c r="N8" s="825"/>
      <c r="O8" s="825"/>
      <c r="P8" s="825"/>
      <c r="Q8" s="826"/>
      <c r="R8" s="348"/>
      <c r="W8" s="14"/>
      <c r="X8" s="53"/>
    </row>
    <row r="9" spans="1:24" s="351" customFormat="1" ht="66">
      <c r="A9" s="837"/>
      <c r="B9" s="837"/>
      <c r="C9" s="422" t="s">
        <v>216</v>
      </c>
      <c r="D9" s="422" t="s">
        <v>217</v>
      </c>
      <c r="E9" s="422" t="s">
        <v>369</v>
      </c>
      <c r="F9" s="487" t="s">
        <v>224</v>
      </c>
      <c r="G9" s="487" t="s">
        <v>118</v>
      </c>
      <c r="H9" s="489" t="s">
        <v>216</v>
      </c>
      <c r="I9" s="489" t="s">
        <v>217</v>
      </c>
      <c r="J9" s="489" t="s">
        <v>369</v>
      </c>
      <c r="K9" s="489" t="s">
        <v>224</v>
      </c>
      <c r="L9" s="489" t="s">
        <v>119</v>
      </c>
      <c r="M9" s="422" t="s">
        <v>216</v>
      </c>
      <c r="N9" s="422" t="s">
        <v>217</v>
      </c>
      <c r="O9" s="422" t="s">
        <v>369</v>
      </c>
      <c r="P9" s="487" t="s">
        <v>224</v>
      </c>
      <c r="Q9" s="422" t="s">
        <v>120</v>
      </c>
      <c r="R9" s="496"/>
      <c r="W9" s="572"/>
      <c r="X9" s="570"/>
    </row>
    <row r="10" spans="1:24" s="15" customFormat="1" ht="16.5">
      <c r="A10" s="371">
        <v>1</v>
      </c>
      <c r="B10" s="371">
        <v>2</v>
      </c>
      <c r="C10" s="371">
        <v>3</v>
      </c>
      <c r="D10" s="371">
        <v>4</v>
      </c>
      <c r="E10" s="371">
        <v>5</v>
      </c>
      <c r="F10" s="399">
        <v>6</v>
      </c>
      <c r="G10" s="371">
        <v>7</v>
      </c>
      <c r="H10" s="483">
        <v>8</v>
      </c>
      <c r="I10" s="483">
        <v>9</v>
      </c>
      <c r="J10" s="483">
        <v>10</v>
      </c>
      <c r="K10" s="483">
        <v>11</v>
      </c>
      <c r="L10" s="483">
        <v>12</v>
      </c>
      <c r="M10" s="371">
        <v>13</v>
      </c>
      <c r="N10" s="347">
        <v>14</v>
      </c>
      <c r="O10" s="346">
        <v>15</v>
      </c>
      <c r="P10" s="371">
        <v>16</v>
      </c>
      <c r="Q10" s="371">
        <v>17</v>
      </c>
      <c r="R10" s="348"/>
      <c r="W10" s="14"/>
      <c r="X10" s="53"/>
    </row>
    <row r="11" spans="1:26" ht="16.5" customHeight="1">
      <c r="A11" s="349">
        <v>1</v>
      </c>
      <c r="B11" s="373" t="s">
        <v>870</v>
      </c>
      <c r="C11" s="374">
        <v>25120</v>
      </c>
      <c r="D11" s="374">
        <v>180035</v>
      </c>
      <c r="E11" s="374"/>
      <c r="F11" s="492"/>
      <c r="G11" s="492">
        <f>C11+D11+E11+F11</f>
        <v>205155</v>
      </c>
      <c r="H11" s="486">
        <f>M11/'T5A_PLAN_vs_PRFM '!I12</f>
        <v>22219.734234234234</v>
      </c>
      <c r="I11" s="486">
        <f>N11/'T5A_PLAN_vs_PRFM '!I12</f>
        <v>146596.24774774775</v>
      </c>
      <c r="J11" s="486">
        <v>0</v>
      </c>
      <c r="K11" s="492">
        <v>0</v>
      </c>
      <c r="L11" s="486">
        <v>168815.98198198198</v>
      </c>
      <c r="M11" s="374">
        <v>4932781</v>
      </c>
      <c r="N11" s="374">
        <v>32544367</v>
      </c>
      <c r="O11" s="374">
        <v>0</v>
      </c>
      <c r="P11" s="374">
        <v>0</v>
      </c>
      <c r="Q11" s="374">
        <f>M11+N11+O11+P11</f>
        <v>37477148</v>
      </c>
      <c r="R11" s="350"/>
      <c r="T11" s="48">
        <f>C11*222</f>
        <v>5576640</v>
      </c>
      <c r="U11" s="48">
        <f>D11*222</f>
        <v>39967770</v>
      </c>
      <c r="V11" s="48">
        <f>T11+U11</f>
        <v>45544410</v>
      </c>
      <c r="W11" s="571">
        <v>37477148</v>
      </c>
      <c r="X11" s="48">
        <f>W11-Q11</f>
        <v>0</v>
      </c>
      <c r="Y11" s="16">
        <f>Q11/222</f>
        <v>168815.98198198198</v>
      </c>
      <c r="Z11" s="341">
        <f>Y11/G11*100</f>
        <v>82.2870424712934</v>
      </c>
    </row>
    <row r="12" spans="1:26" ht="16.5">
      <c r="A12" s="349">
        <v>2</v>
      </c>
      <c r="B12" s="373" t="s">
        <v>871</v>
      </c>
      <c r="C12" s="374">
        <v>19239</v>
      </c>
      <c r="D12" s="374">
        <v>50663</v>
      </c>
      <c r="E12" s="374">
        <v>0</v>
      </c>
      <c r="F12" s="492">
        <v>0</v>
      </c>
      <c r="G12" s="492">
        <f aca="true" t="shared" si="0" ref="G12:G45">C12+D12+E12+F12</f>
        <v>69902</v>
      </c>
      <c r="H12" s="486">
        <f>M12/'T5A_PLAN_vs_PRFM '!I13</f>
        <v>16757.630630630632</v>
      </c>
      <c r="I12" s="486">
        <f>N12/'T5A_PLAN_vs_PRFM '!I13</f>
        <v>38123.585585585584</v>
      </c>
      <c r="J12" s="486">
        <v>0</v>
      </c>
      <c r="K12" s="492">
        <v>0</v>
      </c>
      <c r="L12" s="486">
        <v>54881.21572072072</v>
      </c>
      <c r="M12" s="374">
        <f>3320194+400000</f>
        <v>3720194</v>
      </c>
      <c r="N12" s="374">
        <f>7437655+1025781</f>
        <v>8463436</v>
      </c>
      <c r="O12" s="374">
        <v>0</v>
      </c>
      <c r="P12" s="374">
        <v>0</v>
      </c>
      <c r="Q12" s="374">
        <f aca="true" t="shared" si="1" ref="Q12:Q45">M12+N12+O12+P12</f>
        <v>12183630</v>
      </c>
      <c r="R12" s="350"/>
      <c r="T12" s="48">
        <f aca="true" t="shared" si="2" ref="T12:T46">C12*222</f>
        <v>4271058</v>
      </c>
      <c r="U12" s="48">
        <f aca="true" t="shared" si="3" ref="U12:U46">D12*222</f>
        <v>11247186</v>
      </c>
      <c r="V12" s="48">
        <f aca="true" t="shared" si="4" ref="V12:V46">T12+U12</f>
        <v>15518244</v>
      </c>
      <c r="W12" s="571">
        <v>12183629.89</v>
      </c>
      <c r="X12" s="48">
        <f aca="true" t="shared" si="5" ref="X12:X46">W12-Q12</f>
        <v>-0.10999999940395355</v>
      </c>
      <c r="Y12" s="16">
        <f aca="true" t="shared" si="6" ref="Y12:Y46">Q12/222</f>
        <v>54881.21621621621</v>
      </c>
      <c r="Z12" s="341">
        <f aca="true" t="shared" si="7" ref="Z12:Z46">Y12/G12*100</f>
        <v>78.51165376701125</v>
      </c>
    </row>
    <row r="13" spans="1:26" ht="16.5">
      <c r="A13" s="349">
        <v>3</v>
      </c>
      <c r="B13" s="373" t="s">
        <v>872</v>
      </c>
      <c r="C13" s="374">
        <v>34930</v>
      </c>
      <c r="D13" s="374">
        <v>75509</v>
      </c>
      <c r="E13" s="374">
        <v>0</v>
      </c>
      <c r="F13" s="492">
        <v>0</v>
      </c>
      <c r="G13" s="492">
        <f t="shared" si="0"/>
        <v>110439</v>
      </c>
      <c r="H13" s="486">
        <f>M13/'T5A_PLAN_vs_PRFM '!I14</f>
        <v>31341.004504504504</v>
      </c>
      <c r="I13" s="486">
        <f>N13/'T5A_PLAN_vs_PRFM '!I14</f>
        <v>70833.13963963964</v>
      </c>
      <c r="J13" s="486">
        <v>0</v>
      </c>
      <c r="K13" s="492">
        <v>0</v>
      </c>
      <c r="L13" s="486">
        <v>102174.14513513513</v>
      </c>
      <c r="M13" s="374">
        <v>6957703</v>
      </c>
      <c r="N13" s="374">
        <f>14563220+7053+1154684</f>
        <v>15724957</v>
      </c>
      <c r="O13" s="374">
        <v>0</v>
      </c>
      <c r="P13" s="374">
        <v>0</v>
      </c>
      <c r="Q13" s="374">
        <f t="shared" si="1"/>
        <v>22682660</v>
      </c>
      <c r="R13" s="350"/>
      <c r="T13" s="48">
        <f t="shared" si="2"/>
        <v>7754460</v>
      </c>
      <c r="U13" s="48">
        <f t="shared" si="3"/>
        <v>16762998</v>
      </c>
      <c r="V13" s="48">
        <f t="shared" si="4"/>
        <v>24517458</v>
      </c>
      <c r="W13" s="571">
        <v>22682660.22</v>
      </c>
      <c r="X13" s="48">
        <f t="shared" si="5"/>
        <v>0.2199999988079071</v>
      </c>
      <c r="Y13" s="16">
        <f t="shared" si="6"/>
        <v>102174.14414414414</v>
      </c>
      <c r="Z13" s="341">
        <f t="shared" si="7"/>
        <v>92.51636119862017</v>
      </c>
    </row>
    <row r="14" spans="1:26" ht="16.5" customHeight="1">
      <c r="A14" s="349">
        <v>4</v>
      </c>
      <c r="B14" s="373" t="s">
        <v>873</v>
      </c>
      <c r="C14" s="374">
        <v>69994</v>
      </c>
      <c r="D14" s="374">
        <v>114437</v>
      </c>
      <c r="E14" s="374">
        <v>0</v>
      </c>
      <c r="F14" s="492">
        <v>0</v>
      </c>
      <c r="G14" s="492">
        <f t="shared" si="0"/>
        <v>184431</v>
      </c>
      <c r="H14" s="486">
        <f>M14/'T5A_PLAN_vs_PRFM '!I15</f>
        <v>55574.80630630631</v>
      </c>
      <c r="I14" s="486">
        <f>N14/'T5A_PLAN_vs_PRFM '!I15</f>
        <v>100640.63063063064</v>
      </c>
      <c r="J14" s="486">
        <v>0</v>
      </c>
      <c r="K14" s="492">
        <v>0</v>
      </c>
      <c r="L14" s="486">
        <v>156215.43842342342</v>
      </c>
      <c r="M14" s="374">
        <v>12337607</v>
      </c>
      <c r="N14" s="374">
        <f>20171424+2170796</f>
        <v>22342220</v>
      </c>
      <c r="O14" s="374">
        <v>0</v>
      </c>
      <c r="P14" s="374">
        <v>0</v>
      </c>
      <c r="Q14" s="374">
        <f t="shared" si="1"/>
        <v>34679827</v>
      </c>
      <c r="R14" s="350"/>
      <c r="T14" s="48">
        <f t="shared" si="2"/>
        <v>15538668</v>
      </c>
      <c r="U14" s="48">
        <f t="shared" si="3"/>
        <v>25405014</v>
      </c>
      <c r="V14" s="48">
        <f t="shared" si="4"/>
        <v>40943682</v>
      </c>
      <c r="W14" s="571">
        <v>34679827.33</v>
      </c>
      <c r="X14" s="48">
        <f t="shared" si="5"/>
        <v>0.32999999821186066</v>
      </c>
      <c r="Y14" s="16">
        <f t="shared" si="6"/>
        <v>156215.43693693692</v>
      </c>
      <c r="Z14" s="341">
        <f t="shared" si="7"/>
        <v>84.70129042131579</v>
      </c>
    </row>
    <row r="15" spans="1:26" ht="16.5">
      <c r="A15" s="349">
        <v>5</v>
      </c>
      <c r="B15" s="373" t="s">
        <v>874</v>
      </c>
      <c r="C15" s="374">
        <v>38784</v>
      </c>
      <c r="D15" s="374">
        <v>101203</v>
      </c>
      <c r="E15" s="374">
        <v>0</v>
      </c>
      <c r="F15" s="492">
        <v>0</v>
      </c>
      <c r="G15" s="492">
        <f>C15+D15+E15+F15</f>
        <v>139987</v>
      </c>
      <c r="H15" s="486">
        <f>M15/'T5A_PLAN_vs_PRFM '!I16</f>
        <v>37803.17117117117</v>
      </c>
      <c r="I15" s="486">
        <f>N15/'T5A_PLAN_vs_PRFM '!I16</f>
        <v>76311.36936936936</v>
      </c>
      <c r="J15" s="486">
        <v>0</v>
      </c>
      <c r="K15" s="492">
        <v>0</v>
      </c>
      <c r="L15" s="486">
        <v>114489.3063063063</v>
      </c>
      <c r="M15" s="374">
        <v>8392304</v>
      </c>
      <c r="N15" s="374">
        <f>17024322-83198</f>
        <v>16941124</v>
      </c>
      <c r="O15" s="374">
        <v>83198</v>
      </c>
      <c r="P15" s="374"/>
      <c r="Q15" s="374">
        <f t="shared" si="1"/>
        <v>25416626</v>
      </c>
      <c r="R15" s="350"/>
      <c r="T15" s="48">
        <f t="shared" si="2"/>
        <v>8610048</v>
      </c>
      <c r="U15" s="48">
        <f t="shared" si="3"/>
        <v>22467066</v>
      </c>
      <c r="V15" s="48">
        <f t="shared" si="4"/>
        <v>31077114</v>
      </c>
      <c r="W15" s="571">
        <v>25416626</v>
      </c>
      <c r="X15" s="48">
        <f t="shared" si="5"/>
        <v>0</v>
      </c>
      <c r="Y15" s="16">
        <f t="shared" si="6"/>
        <v>114489.3063063063</v>
      </c>
      <c r="Z15" s="341">
        <f t="shared" si="7"/>
        <v>81.78567031674821</v>
      </c>
    </row>
    <row r="16" spans="1:26" ht="16.5">
      <c r="A16" s="349">
        <v>6</v>
      </c>
      <c r="B16" s="373" t="s">
        <v>875</v>
      </c>
      <c r="C16" s="374">
        <v>16717</v>
      </c>
      <c r="D16" s="374">
        <v>31288</v>
      </c>
      <c r="E16" s="374">
        <v>0</v>
      </c>
      <c r="F16" s="492">
        <v>0</v>
      </c>
      <c r="G16" s="492">
        <f t="shared" si="0"/>
        <v>48005</v>
      </c>
      <c r="H16" s="486">
        <f>M16/'T5A_PLAN_vs_PRFM '!I17</f>
        <v>15592.247747747748</v>
      </c>
      <c r="I16" s="486">
        <f>N16/'T5A_PLAN_vs_PRFM '!I17</f>
        <v>28339.486486486487</v>
      </c>
      <c r="J16" s="486">
        <v>0</v>
      </c>
      <c r="K16" s="492">
        <v>0</v>
      </c>
      <c r="L16" s="486">
        <v>43931.73423423423</v>
      </c>
      <c r="M16" s="374">
        <v>3461479</v>
      </c>
      <c r="N16" s="374">
        <v>6291366</v>
      </c>
      <c r="O16" s="374">
        <v>0</v>
      </c>
      <c r="P16" s="374">
        <v>0</v>
      </c>
      <c r="Q16" s="374">
        <f t="shared" si="1"/>
        <v>9752845</v>
      </c>
      <c r="R16" s="350"/>
      <c r="T16" s="48">
        <f t="shared" si="2"/>
        <v>3711174</v>
      </c>
      <c r="U16" s="48">
        <f t="shared" si="3"/>
        <v>6945936</v>
      </c>
      <c r="V16" s="48">
        <f t="shared" si="4"/>
        <v>10657110</v>
      </c>
      <c r="W16" s="571">
        <v>9752845</v>
      </c>
      <c r="X16" s="48">
        <f t="shared" si="5"/>
        <v>0</v>
      </c>
      <c r="Y16" s="16">
        <f t="shared" si="6"/>
        <v>43931.73423423423</v>
      </c>
      <c r="Z16" s="341">
        <f t="shared" si="7"/>
        <v>91.51491351782988</v>
      </c>
    </row>
    <row r="17" spans="1:26" ht="16.5">
      <c r="A17" s="349">
        <v>7</v>
      </c>
      <c r="B17" s="373" t="s">
        <v>876</v>
      </c>
      <c r="C17" s="374">
        <v>42705</v>
      </c>
      <c r="D17" s="374">
        <v>72811</v>
      </c>
      <c r="E17" s="374">
        <v>0</v>
      </c>
      <c r="F17" s="492">
        <v>0</v>
      </c>
      <c r="G17" s="492">
        <f t="shared" si="0"/>
        <v>115516</v>
      </c>
      <c r="H17" s="486">
        <f>M17/'T5A_PLAN_vs_PRFM '!I18</f>
        <v>35971.17117117117</v>
      </c>
      <c r="I17" s="486">
        <f>N17/'T5A_PLAN_vs_PRFM '!I18</f>
        <v>63996.62162162162</v>
      </c>
      <c r="J17" s="486">
        <v>0</v>
      </c>
      <c r="K17" s="492">
        <v>0</v>
      </c>
      <c r="L17" s="486">
        <v>99967.7963963964</v>
      </c>
      <c r="M17" s="374">
        <f>7967179+18421</f>
        <v>7985600</v>
      </c>
      <c r="N17" s="374">
        <f>13306998+900252</f>
        <v>14207250</v>
      </c>
      <c r="O17" s="374">
        <v>0</v>
      </c>
      <c r="P17" s="374"/>
      <c r="Q17" s="374">
        <f t="shared" si="1"/>
        <v>22192850</v>
      </c>
      <c r="R17" s="350"/>
      <c r="T17" s="48">
        <f t="shared" si="2"/>
        <v>9480510</v>
      </c>
      <c r="U17" s="48">
        <f t="shared" si="3"/>
        <v>16164042</v>
      </c>
      <c r="V17" s="48">
        <f t="shared" si="4"/>
        <v>25644552</v>
      </c>
      <c r="W17" s="571">
        <v>22192850.8</v>
      </c>
      <c r="X17" s="48">
        <f t="shared" si="5"/>
        <v>0.8000000007450581</v>
      </c>
      <c r="Y17" s="16">
        <f t="shared" si="6"/>
        <v>99967.7927927928</v>
      </c>
      <c r="Z17" s="341">
        <f t="shared" si="7"/>
        <v>86.54021329754562</v>
      </c>
    </row>
    <row r="18" spans="1:26" ht="16.5" customHeight="1">
      <c r="A18" s="349">
        <v>8</v>
      </c>
      <c r="B18" s="373" t="s">
        <v>877</v>
      </c>
      <c r="C18" s="374">
        <v>24042</v>
      </c>
      <c r="D18" s="374">
        <v>50234</v>
      </c>
      <c r="E18" s="374">
        <v>0</v>
      </c>
      <c r="F18" s="492">
        <v>0</v>
      </c>
      <c r="G18" s="492">
        <f t="shared" si="0"/>
        <v>74276</v>
      </c>
      <c r="H18" s="486">
        <f>M18/'T5A_PLAN_vs_PRFM '!I19</f>
        <v>18921.252252252252</v>
      </c>
      <c r="I18" s="486">
        <f>N18/'T5A_PLAN_vs_PRFM '!I19</f>
        <v>42741.89189189189</v>
      </c>
      <c r="J18" s="486">
        <v>0</v>
      </c>
      <c r="K18" s="492">
        <v>0</v>
      </c>
      <c r="L18" s="486">
        <v>61663.145405405405</v>
      </c>
      <c r="M18" s="374">
        <v>4200518</v>
      </c>
      <c r="N18" s="374">
        <f>9138706+349994</f>
        <v>9488700</v>
      </c>
      <c r="O18" s="374">
        <v>0</v>
      </c>
      <c r="P18" s="374">
        <v>0</v>
      </c>
      <c r="Q18" s="374">
        <f t="shared" si="1"/>
        <v>13689218</v>
      </c>
      <c r="R18" s="350"/>
      <c r="T18" s="48">
        <f t="shared" si="2"/>
        <v>5337324</v>
      </c>
      <c r="U18" s="48">
        <f t="shared" si="3"/>
        <v>11151948</v>
      </c>
      <c r="V18" s="48">
        <f t="shared" si="4"/>
        <v>16489272</v>
      </c>
      <c r="W18" s="571">
        <v>13689218.28</v>
      </c>
      <c r="X18" s="48">
        <f t="shared" si="5"/>
        <v>0.27999999932944775</v>
      </c>
      <c r="Y18" s="16">
        <f t="shared" si="6"/>
        <v>61663.14414414414</v>
      </c>
      <c r="Z18" s="341">
        <f t="shared" si="7"/>
        <v>83.01893497784498</v>
      </c>
    </row>
    <row r="19" spans="1:26" ht="16.5">
      <c r="A19" s="349">
        <v>9</v>
      </c>
      <c r="B19" s="373" t="s">
        <v>878</v>
      </c>
      <c r="C19" s="374">
        <v>18780</v>
      </c>
      <c r="D19" s="374">
        <v>79386</v>
      </c>
      <c r="E19" s="374">
        <v>752</v>
      </c>
      <c r="F19" s="492">
        <v>0</v>
      </c>
      <c r="G19" s="492">
        <f t="shared" si="0"/>
        <v>98918</v>
      </c>
      <c r="H19" s="486">
        <f>M19/'T5A_PLAN_vs_PRFM '!I20</f>
        <v>15747.845454545455</v>
      </c>
      <c r="I19" s="486">
        <f>N19/'T5A_PLAN_vs_PRFM '!I20</f>
        <v>65235.5</v>
      </c>
      <c r="J19" s="486">
        <f>752/313</f>
        <v>2.402555910543131</v>
      </c>
      <c r="K19" s="492">
        <v>0</v>
      </c>
      <c r="L19" s="486">
        <v>81469.02727272727</v>
      </c>
      <c r="M19" s="374">
        <v>3464526</v>
      </c>
      <c r="N19" s="374">
        <f>14458660-106850</f>
        <v>14351810</v>
      </c>
      <c r="O19" s="374">
        <v>106850</v>
      </c>
      <c r="P19" s="374">
        <v>0</v>
      </c>
      <c r="Q19" s="374">
        <f t="shared" si="1"/>
        <v>17923186</v>
      </c>
      <c r="R19" s="350"/>
      <c r="T19" s="48">
        <f t="shared" si="2"/>
        <v>4169160</v>
      </c>
      <c r="U19" s="48">
        <f t="shared" si="3"/>
        <v>17623692</v>
      </c>
      <c r="V19" s="48">
        <f t="shared" si="4"/>
        <v>21792852</v>
      </c>
      <c r="W19" s="571">
        <v>17923186</v>
      </c>
      <c r="X19" s="48">
        <f t="shared" si="5"/>
        <v>0</v>
      </c>
      <c r="Y19" s="16">
        <f t="shared" si="6"/>
        <v>80735.07207207207</v>
      </c>
      <c r="Z19" s="341">
        <f t="shared" si="7"/>
        <v>81.6181807882004</v>
      </c>
    </row>
    <row r="20" spans="1:26" ht="16.5">
      <c r="A20" s="349">
        <v>10</v>
      </c>
      <c r="B20" s="373" t="s">
        <v>879</v>
      </c>
      <c r="C20" s="374">
        <v>14984</v>
      </c>
      <c r="D20" s="374">
        <v>21866</v>
      </c>
      <c r="E20" s="374">
        <v>0</v>
      </c>
      <c r="F20" s="492">
        <v>20</v>
      </c>
      <c r="G20" s="492">
        <f t="shared" si="0"/>
        <v>36870</v>
      </c>
      <c r="H20" s="486">
        <f>M20/'T5A_PLAN_vs_PRFM '!I21</f>
        <v>13059.18018018018</v>
      </c>
      <c r="I20" s="486">
        <f>N20/'T5A_PLAN_vs_PRFM '!I21</f>
        <v>18505.783783783783</v>
      </c>
      <c r="J20" s="486">
        <v>0</v>
      </c>
      <c r="K20" s="492">
        <v>20</v>
      </c>
      <c r="L20" s="486">
        <v>31582.093918918916</v>
      </c>
      <c r="M20" s="374">
        <f>2699138+200000</f>
        <v>2899138</v>
      </c>
      <c r="N20" s="374">
        <f>4105485+2799</f>
        <v>4108284</v>
      </c>
      <c r="O20" s="374">
        <v>0</v>
      </c>
      <c r="P20" s="374">
        <v>3802</v>
      </c>
      <c r="Q20" s="374">
        <f t="shared" si="1"/>
        <v>7011224</v>
      </c>
      <c r="R20" s="350"/>
      <c r="T20" s="48">
        <f t="shared" si="2"/>
        <v>3326448</v>
      </c>
      <c r="U20" s="48">
        <f t="shared" si="3"/>
        <v>4854252</v>
      </c>
      <c r="V20" s="48">
        <f t="shared" si="4"/>
        <v>8180700</v>
      </c>
      <c r="W20" s="571">
        <v>7011224.85</v>
      </c>
      <c r="X20" s="48">
        <f t="shared" si="5"/>
        <v>0.849999999627471</v>
      </c>
      <c r="Y20" s="16">
        <f t="shared" si="6"/>
        <v>31582.09009009009</v>
      </c>
      <c r="Z20" s="341">
        <f t="shared" si="7"/>
        <v>85.6579606457556</v>
      </c>
    </row>
    <row r="21" spans="1:26" ht="16.5">
      <c r="A21" s="349">
        <v>11</v>
      </c>
      <c r="B21" s="373" t="s">
        <v>880</v>
      </c>
      <c r="C21" s="374">
        <v>27159</v>
      </c>
      <c r="D21" s="374">
        <v>24776</v>
      </c>
      <c r="E21" s="374"/>
      <c r="F21" s="492"/>
      <c r="G21" s="492">
        <f t="shared" si="0"/>
        <v>51935</v>
      </c>
      <c r="H21" s="486">
        <f>M21/'T5A_PLAN_vs_PRFM '!I22</f>
        <v>21798.136363636364</v>
      </c>
      <c r="I21" s="486">
        <f>N21/'T5A_PLAN_vs_PRFM '!I22</f>
        <v>23189.627272727274</v>
      </c>
      <c r="J21" s="486"/>
      <c r="K21" s="492"/>
      <c r="L21" s="486">
        <v>44987.76422727273</v>
      </c>
      <c r="M21" s="374">
        <v>4795590</v>
      </c>
      <c r="N21" s="374">
        <f>4948089+153629</f>
        <v>5101718</v>
      </c>
      <c r="O21" s="374">
        <v>0</v>
      </c>
      <c r="P21" s="374">
        <v>0</v>
      </c>
      <c r="Q21" s="374">
        <f t="shared" si="1"/>
        <v>9897308</v>
      </c>
      <c r="R21" s="350"/>
      <c r="T21" s="48">
        <f t="shared" si="2"/>
        <v>6029298</v>
      </c>
      <c r="U21" s="48">
        <f t="shared" si="3"/>
        <v>5500272</v>
      </c>
      <c r="V21" s="48">
        <f t="shared" si="4"/>
        <v>11529570</v>
      </c>
      <c r="W21" s="571">
        <v>9897308.13</v>
      </c>
      <c r="X21" s="48">
        <f t="shared" si="5"/>
        <v>0.13000000081956387</v>
      </c>
      <c r="Y21" s="16">
        <f t="shared" si="6"/>
        <v>44582.46846846847</v>
      </c>
      <c r="Z21" s="341">
        <f t="shared" si="7"/>
        <v>85.84281981027914</v>
      </c>
    </row>
    <row r="22" spans="1:26" ht="16.5">
      <c r="A22" s="349">
        <v>12</v>
      </c>
      <c r="B22" s="373" t="s">
        <v>881</v>
      </c>
      <c r="C22" s="374">
        <v>29402</v>
      </c>
      <c r="D22" s="374">
        <v>28779</v>
      </c>
      <c r="E22" s="374">
        <v>0</v>
      </c>
      <c r="F22" s="492">
        <v>0</v>
      </c>
      <c r="G22" s="492">
        <f t="shared" si="0"/>
        <v>58181</v>
      </c>
      <c r="H22" s="486">
        <f>M22/'T5A_PLAN_vs_PRFM '!I23</f>
        <v>22061.226244343892</v>
      </c>
      <c r="I22" s="486">
        <f>N22/'T5A_PLAN_vs_PRFM '!I23</f>
        <v>17348.75113122172</v>
      </c>
      <c r="J22" s="486">
        <v>0</v>
      </c>
      <c r="K22" s="492">
        <v>0</v>
      </c>
      <c r="L22" s="486">
        <v>39409.97737556561</v>
      </c>
      <c r="M22" s="374">
        <f>3875531+1000000</f>
        <v>4875531</v>
      </c>
      <c r="N22" s="374">
        <f>3609227+224847</f>
        <v>3834074</v>
      </c>
      <c r="O22" s="374"/>
      <c r="P22" s="374"/>
      <c r="Q22" s="374">
        <f t="shared" si="1"/>
        <v>8709605</v>
      </c>
      <c r="R22" s="350"/>
      <c r="T22" s="48">
        <f t="shared" si="2"/>
        <v>6527244</v>
      </c>
      <c r="U22" s="48">
        <f t="shared" si="3"/>
        <v>6388938</v>
      </c>
      <c r="V22" s="48">
        <f t="shared" si="4"/>
        <v>12916182</v>
      </c>
      <c r="W22" s="571">
        <v>8709605</v>
      </c>
      <c r="X22" s="48">
        <f t="shared" si="5"/>
        <v>0</v>
      </c>
      <c r="Y22" s="16">
        <f t="shared" si="6"/>
        <v>39232.454954954956</v>
      </c>
      <c r="Z22" s="341">
        <f t="shared" si="7"/>
        <v>67.43173021253494</v>
      </c>
    </row>
    <row r="23" spans="1:26" ht="16.5">
      <c r="A23" s="349">
        <v>13</v>
      </c>
      <c r="B23" s="373" t="s">
        <v>882</v>
      </c>
      <c r="C23" s="374">
        <v>36001</v>
      </c>
      <c r="D23" s="374">
        <v>178694</v>
      </c>
      <c r="E23" s="374">
        <v>0</v>
      </c>
      <c r="F23" s="492">
        <v>0</v>
      </c>
      <c r="G23" s="492">
        <f t="shared" si="0"/>
        <v>214695</v>
      </c>
      <c r="H23" s="486">
        <f>M23/'T5A_PLAN_vs_PRFM '!I24</f>
        <v>32411.288288288288</v>
      </c>
      <c r="I23" s="486">
        <f>N23/'T5A_PLAN_vs_PRFM '!I24</f>
        <v>107863.50900900901</v>
      </c>
      <c r="J23" s="486">
        <v>0</v>
      </c>
      <c r="K23" s="492">
        <v>0</v>
      </c>
      <c r="L23" s="486">
        <v>141786.9283783784</v>
      </c>
      <c r="M23" s="374">
        <v>7195306</v>
      </c>
      <c r="N23" s="374">
        <f>23338268+607431</f>
        <v>23945699</v>
      </c>
      <c r="O23" s="374">
        <v>335693</v>
      </c>
      <c r="P23" s="374">
        <v>0</v>
      </c>
      <c r="Q23" s="374">
        <f t="shared" si="1"/>
        <v>31476698</v>
      </c>
      <c r="R23" s="350"/>
      <c r="T23" s="48">
        <f t="shared" si="2"/>
        <v>7992222</v>
      </c>
      <c r="U23" s="48">
        <f t="shared" si="3"/>
        <v>39670068</v>
      </c>
      <c r="V23" s="48">
        <f t="shared" si="4"/>
        <v>47662290</v>
      </c>
      <c r="W23" s="571">
        <v>31476698.1</v>
      </c>
      <c r="X23" s="48">
        <f t="shared" si="5"/>
        <v>0.10000000149011612</v>
      </c>
      <c r="Y23" s="16">
        <f t="shared" si="6"/>
        <v>141786.92792792793</v>
      </c>
      <c r="Z23" s="341">
        <f t="shared" si="7"/>
        <v>66.04109454245695</v>
      </c>
    </row>
    <row r="24" spans="1:26" ht="16.5">
      <c r="A24" s="349">
        <v>14</v>
      </c>
      <c r="B24" s="373" t="s">
        <v>883</v>
      </c>
      <c r="C24" s="374">
        <v>38394</v>
      </c>
      <c r="D24" s="374">
        <v>57670</v>
      </c>
      <c r="E24" s="374">
        <v>0</v>
      </c>
      <c r="F24" s="492">
        <v>0</v>
      </c>
      <c r="G24" s="492">
        <f t="shared" si="0"/>
        <v>96064</v>
      </c>
      <c r="H24" s="486">
        <f>M24/'T5A_PLAN_vs_PRFM '!I25</f>
        <v>27730.260273972603</v>
      </c>
      <c r="I24" s="486">
        <f>N24/'T5A_PLAN_vs_PRFM '!I25</f>
        <v>50666.71232876712</v>
      </c>
      <c r="J24" s="486">
        <v>0</v>
      </c>
      <c r="K24" s="492">
        <v>0</v>
      </c>
      <c r="L24" s="486">
        <v>78396.9712328767</v>
      </c>
      <c r="M24" s="374">
        <f>6062907+10020</f>
        <v>6072927</v>
      </c>
      <c r="N24" s="374">
        <f>9106833+1989177</f>
        <v>11096010</v>
      </c>
      <c r="O24" s="374">
        <v>0</v>
      </c>
      <c r="P24" s="374">
        <v>0</v>
      </c>
      <c r="Q24" s="374">
        <f t="shared" si="1"/>
        <v>17168937</v>
      </c>
      <c r="R24" s="350"/>
      <c r="T24" s="48">
        <f t="shared" si="2"/>
        <v>8523468</v>
      </c>
      <c r="U24" s="48">
        <f t="shared" si="3"/>
        <v>12802740</v>
      </c>
      <c r="V24" s="48">
        <f t="shared" si="4"/>
        <v>21326208</v>
      </c>
      <c r="W24" s="571">
        <v>17168936.7</v>
      </c>
      <c r="X24" s="48">
        <f t="shared" si="5"/>
        <v>-0.30000000074505806</v>
      </c>
      <c r="Y24" s="16">
        <f t="shared" si="6"/>
        <v>77337.55405405405</v>
      </c>
      <c r="Z24" s="341">
        <f t="shared" si="7"/>
        <v>80.50628128544935</v>
      </c>
    </row>
    <row r="25" spans="1:26" ht="16.5">
      <c r="A25" s="349">
        <v>15</v>
      </c>
      <c r="B25" s="373" t="s">
        <v>884</v>
      </c>
      <c r="C25" s="374">
        <v>48796</v>
      </c>
      <c r="D25" s="374">
        <v>117337</v>
      </c>
      <c r="E25" s="374">
        <v>0</v>
      </c>
      <c r="F25" s="492">
        <v>0</v>
      </c>
      <c r="G25" s="492">
        <f t="shared" si="0"/>
        <v>166133</v>
      </c>
      <c r="H25" s="486">
        <f>M25/'T5A_PLAN_vs_PRFM '!I26</f>
        <v>36331.382882882885</v>
      </c>
      <c r="I25" s="486">
        <f>N25/'T5A_PLAN_vs_PRFM '!I26</f>
        <v>104665.7072072072</v>
      </c>
      <c r="J25" s="486">
        <v>0</v>
      </c>
      <c r="K25" s="492">
        <v>0</v>
      </c>
      <c r="L25" s="486">
        <v>140997.09099099098</v>
      </c>
      <c r="M25" s="374">
        <f>6132685+354+1932528</f>
        <v>8065567</v>
      </c>
      <c r="N25" s="374">
        <v>23235787</v>
      </c>
      <c r="O25" s="374">
        <v>0</v>
      </c>
      <c r="P25" s="374">
        <v>0</v>
      </c>
      <c r="Q25" s="374">
        <f t="shared" si="1"/>
        <v>31301354</v>
      </c>
      <c r="R25" s="350"/>
      <c r="T25" s="48">
        <f t="shared" si="2"/>
        <v>10832712</v>
      </c>
      <c r="U25" s="48">
        <f t="shared" si="3"/>
        <v>26048814</v>
      </c>
      <c r="V25" s="48">
        <f t="shared" si="4"/>
        <v>36881526</v>
      </c>
      <c r="W25" s="571">
        <v>31301354.2</v>
      </c>
      <c r="X25" s="48">
        <f t="shared" si="5"/>
        <v>0.19999999925494194</v>
      </c>
      <c r="Y25" s="16">
        <f t="shared" si="6"/>
        <v>140997.0900900901</v>
      </c>
      <c r="Z25" s="341">
        <f t="shared" si="7"/>
        <v>84.87000781909079</v>
      </c>
    </row>
    <row r="26" spans="1:26" ht="16.5">
      <c r="A26" s="349">
        <v>16</v>
      </c>
      <c r="B26" s="373" t="s">
        <v>885</v>
      </c>
      <c r="C26" s="374">
        <v>32292</v>
      </c>
      <c r="D26" s="374">
        <v>95521</v>
      </c>
      <c r="E26" s="374">
        <v>0</v>
      </c>
      <c r="F26" s="492">
        <v>0</v>
      </c>
      <c r="G26" s="492">
        <f t="shared" si="0"/>
        <v>127813</v>
      </c>
      <c r="H26" s="486">
        <f>M26/'T5A_PLAN_vs_PRFM '!I27</f>
        <v>25628.61261261261</v>
      </c>
      <c r="I26" s="486">
        <f>N26/'T5A_PLAN_vs_PRFM '!I27</f>
        <v>72494.00900900901</v>
      </c>
      <c r="J26" s="486">
        <v>0</v>
      </c>
      <c r="K26" s="492">
        <v>0</v>
      </c>
      <c r="L26" s="486">
        <v>98122.62135135135</v>
      </c>
      <c r="M26" s="374">
        <f>5389552+300000</f>
        <v>5689552</v>
      </c>
      <c r="N26" s="374">
        <f>15782288+311382</f>
        <v>16093670</v>
      </c>
      <c r="O26" s="374">
        <v>0</v>
      </c>
      <c r="P26" s="374">
        <v>0</v>
      </c>
      <c r="Q26" s="374">
        <f t="shared" si="1"/>
        <v>21783222</v>
      </c>
      <c r="R26" s="350"/>
      <c r="T26" s="48">
        <f t="shared" si="2"/>
        <v>7168824</v>
      </c>
      <c r="U26" s="48">
        <f t="shared" si="3"/>
        <v>21205662</v>
      </c>
      <c r="V26" s="48">
        <f t="shared" si="4"/>
        <v>28374486</v>
      </c>
      <c r="W26" s="571">
        <v>21783221.94</v>
      </c>
      <c r="X26" s="48">
        <f t="shared" si="5"/>
        <v>-0.05999999865889549</v>
      </c>
      <c r="Y26" s="16">
        <f t="shared" si="6"/>
        <v>98122.62162162163</v>
      </c>
      <c r="Z26" s="341">
        <f t="shared" si="7"/>
        <v>76.77045497846198</v>
      </c>
    </row>
    <row r="27" spans="1:26" ht="16.5">
      <c r="A27" s="349">
        <v>17</v>
      </c>
      <c r="B27" s="373" t="s">
        <v>886</v>
      </c>
      <c r="C27" s="374">
        <v>99051</v>
      </c>
      <c r="D27" s="374">
        <v>234131</v>
      </c>
      <c r="E27" s="374">
        <v>0</v>
      </c>
      <c r="F27" s="492">
        <v>0</v>
      </c>
      <c r="G27" s="492">
        <f t="shared" si="0"/>
        <v>333182</v>
      </c>
      <c r="H27" s="486">
        <f>M27/'T5A_PLAN_vs_PRFM '!I28</f>
        <v>80817.93777777778</v>
      </c>
      <c r="I27" s="486">
        <f>N27/'T5A_PLAN_vs_PRFM '!I28</f>
        <v>183132.41777777777</v>
      </c>
      <c r="J27" s="486">
        <v>0</v>
      </c>
      <c r="K27" s="492">
        <v>0</v>
      </c>
      <c r="L27" s="486">
        <v>263950.3545777778</v>
      </c>
      <c r="M27" s="374">
        <f>16022540+2161496</f>
        <v>18184036</v>
      </c>
      <c r="N27" s="374">
        <f>31204794+10000000</f>
        <v>41204794</v>
      </c>
      <c r="O27" s="374">
        <v>0</v>
      </c>
      <c r="P27" s="374">
        <v>0</v>
      </c>
      <c r="Q27" s="374">
        <f t="shared" si="1"/>
        <v>59388830</v>
      </c>
      <c r="R27" s="350"/>
      <c r="T27" s="48">
        <f t="shared" si="2"/>
        <v>21989322</v>
      </c>
      <c r="U27" s="48">
        <f t="shared" si="3"/>
        <v>51977082</v>
      </c>
      <c r="V27" s="48">
        <f t="shared" si="4"/>
        <v>73966404</v>
      </c>
      <c r="W27" s="571">
        <v>59388829.78</v>
      </c>
      <c r="X27" s="48">
        <f t="shared" si="5"/>
        <v>-0.2199999988079071</v>
      </c>
      <c r="Y27" s="16">
        <f t="shared" si="6"/>
        <v>267517.25225225225</v>
      </c>
      <c r="Z27" s="341">
        <f t="shared" si="7"/>
        <v>80.29162807482165</v>
      </c>
    </row>
    <row r="28" spans="1:26" ht="16.5" customHeight="1">
      <c r="A28" s="349">
        <v>18</v>
      </c>
      <c r="B28" s="373" t="s">
        <v>887</v>
      </c>
      <c r="C28" s="374">
        <v>31071</v>
      </c>
      <c r="D28" s="374">
        <v>134465</v>
      </c>
      <c r="E28" s="374">
        <v>0</v>
      </c>
      <c r="F28" s="492">
        <v>237</v>
      </c>
      <c r="G28" s="492">
        <f t="shared" si="0"/>
        <v>165773</v>
      </c>
      <c r="H28" s="486">
        <f>M28/'T5A_PLAN_vs_PRFM '!I29</f>
        <v>22685.37837837838</v>
      </c>
      <c r="I28" s="486">
        <f>N28/'T5A_PLAN_vs_PRFM '!I29</f>
        <v>114532.27927927928</v>
      </c>
      <c r="J28" s="486">
        <v>0</v>
      </c>
      <c r="K28" s="492">
        <v>237</v>
      </c>
      <c r="L28" s="486">
        <v>137382.24774774775</v>
      </c>
      <c r="M28" s="374">
        <v>5036154</v>
      </c>
      <c r="N28" s="374">
        <v>25426166</v>
      </c>
      <c r="O28" s="374">
        <v>0</v>
      </c>
      <c r="P28" s="374">
        <v>36539</v>
      </c>
      <c r="Q28" s="374">
        <f t="shared" si="1"/>
        <v>30498859</v>
      </c>
      <c r="R28" s="350"/>
      <c r="T28" s="48">
        <f t="shared" si="2"/>
        <v>6897762</v>
      </c>
      <c r="U28" s="48">
        <f t="shared" si="3"/>
        <v>29851230</v>
      </c>
      <c r="V28" s="48">
        <f t="shared" si="4"/>
        <v>36748992</v>
      </c>
      <c r="W28" s="571">
        <v>30498859</v>
      </c>
      <c r="X28" s="48">
        <f t="shared" si="5"/>
        <v>0</v>
      </c>
      <c r="Y28" s="16">
        <f t="shared" si="6"/>
        <v>137382.24774774775</v>
      </c>
      <c r="Z28" s="341">
        <f t="shared" si="7"/>
        <v>82.87371752200163</v>
      </c>
    </row>
    <row r="29" spans="1:26" ht="16.5">
      <c r="A29" s="349">
        <v>19</v>
      </c>
      <c r="B29" s="373" t="s">
        <v>888</v>
      </c>
      <c r="C29" s="374">
        <v>48465</v>
      </c>
      <c r="D29" s="374">
        <v>99016</v>
      </c>
      <c r="E29" s="374">
        <v>0</v>
      </c>
      <c r="F29" s="492">
        <v>0</v>
      </c>
      <c r="G29" s="492">
        <f t="shared" si="0"/>
        <v>147481</v>
      </c>
      <c r="H29" s="486">
        <f>M29/'T5A_PLAN_vs_PRFM '!I30</f>
        <v>41697.954954954956</v>
      </c>
      <c r="I29" s="486">
        <f>N29/'T5A_PLAN_vs_PRFM '!I30</f>
        <v>77327.10360360361</v>
      </c>
      <c r="J29" s="486">
        <v>0</v>
      </c>
      <c r="K29" s="492">
        <v>0</v>
      </c>
      <c r="L29" s="486">
        <v>119025.05936936937</v>
      </c>
      <c r="M29" s="374">
        <f>8275391+981555</f>
        <v>9256946</v>
      </c>
      <c r="N29" s="374">
        <f>15166617+2000000</f>
        <v>17166617</v>
      </c>
      <c r="O29" s="374">
        <v>0</v>
      </c>
      <c r="P29" s="374">
        <v>0</v>
      </c>
      <c r="Q29" s="374">
        <f t="shared" si="1"/>
        <v>26423563</v>
      </c>
      <c r="R29" s="350"/>
      <c r="T29" s="48">
        <f t="shared" si="2"/>
        <v>10759230</v>
      </c>
      <c r="U29" s="48">
        <f t="shared" si="3"/>
        <v>21981552</v>
      </c>
      <c r="V29" s="48">
        <f t="shared" si="4"/>
        <v>32740782</v>
      </c>
      <c r="W29" s="571">
        <v>26423563.18</v>
      </c>
      <c r="X29" s="48">
        <f t="shared" si="5"/>
        <v>0.17999999970197678</v>
      </c>
      <c r="Y29" s="16">
        <f t="shared" si="6"/>
        <v>119025.05855855856</v>
      </c>
      <c r="Z29" s="341">
        <f t="shared" si="7"/>
        <v>80.70535089846052</v>
      </c>
    </row>
    <row r="30" spans="1:26" ht="16.5">
      <c r="A30" s="349">
        <v>20</v>
      </c>
      <c r="B30" s="373" t="s">
        <v>889</v>
      </c>
      <c r="C30" s="374">
        <v>7168</v>
      </c>
      <c r="D30" s="374">
        <v>55092</v>
      </c>
      <c r="E30" s="374">
        <v>0</v>
      </c>
      <c r="F30" s="492">
        <v>0</v>
      </c>
      <c r="G30" s="492">
        <f t="shared" si="0"/>
        <v>62260</v>
      </c>
      <c r="H30" s="486">
        <f>M30/'T5A_PLAN_vs_PRFM '!I31</f>
        <v>5980.945945945946</v>
      </c>
      <c r="I30" s="486">
        <f>N30/'T5A_PLAN_vs_PRFM '!I31</f>
        <v>44253.761261261265</v>
      </c>
      <c r="J30" s="486">
        <v>0</v>
      </c>
      <c r="K30" s="492">
        <v>0</v>
      </c>
      <c r="L30" s="486">
        <v>50234.70900900901</v>
      </c>
      <c r="M30" s="374">
        <v>1327770</v>
      </c>
      <c r="N30" s="374">
        <f>9816628+7707</f>
        <v>9824335</v>
      </c>
      <c r="O30" s="374">
        <v>0</v>
      </c>
      <c r="P30" s="374">
        <v>0</v>
      </c>
      <c r="Q30" s="374">
        <f t="shared" si="1"/>
        <v>11152105</v>
      </c>
      <c r="R30" s="350"/>
      <c r="T30" s="48">
        <f t="shared" si="2"/>
        <v>1591296</v>
      </c>
      <c r="U30" s="48">
        <f t="shared" si="3"/>
        <v>12230424</v>
      </c>
      <c r="V30" s="48">
        <f t="shared" si="4"/>
        <v>13821720</v>
      </c>
      <c r="W30" s="571">
        <v>11152105.4</v>
      </c>
      <c r="X30" s="48">
        <f t="shared" si="5"/>
        <v>0.40000000037252903</v>
      </c>
      <c r="Y30" s="16">
        <f t="shared" si="6"/>
        <v>50234.707207207204</v>
      </c>
      <c r="Z30" s="341">
        <f t="shared" si="7"/>
        <v>80.68536332670608</v>
      </c>
    </row>
    <row r="31" spans="1:26" ht="16.5">
      <c r="A31" s="349">
        <v>21</v>
      </c>
      <c r="B31" s="373" t="s">
        <v>890</v>
      </c>
      <c r="C31" s="374">
        <v>61326</v>
      </c>
      <c r="D31" s="374">
        <v>196403</v>
      </c>
      <c r="E31" s="374">
        <v>0</v>
      </c>
      <c r="F31" s="492">
        <v>0</v>
      </c>
      <c r="G31" s="492">
        <f t="shared" si="0"/>
        <v>257729</v>
      </c>
      <c r="H31" s="486">
        <f>M31/'T5A_PLAN_vs_PRFM '!I32</f>
        <v>51447.55405405405</v>
      </c>
      <c r="I31" s="486">
        <f>N31/'T5A_PLAN_vs_PRFM '!I32</f>
        <v>157843.2792792793</v>
      </c>
      <c r="J31" s="486">
        <v>0</v>
      </c>
      <c r="K31" s="492">
        <v>0</v>
      </c>
      <c r="L31" s="486">
        <v>209290.8345945946</v>
      </c>
      <c r="M31" s="374">
        <f>10850724+570633</f>
        <v>11421357</v>
      </c>
      <c r="N31" s="374">
        <f>33041208+2000000</f>
        <v>35041208</v>
      </c>
      <c r="O31" s="374">
        <v>0</v>
      </c>
      <c r="P31" s="374">
        <v>0</v>
      </c>
      <c r="Q31" s="374">
        <f t="shared" si="1"/>
        <v>46462565</v>
      </c>
      <c r="R31" s="350"/>
      <c r="T31" s="48">
        <f t="shared" si="2"/>
        <v>13614372</v>
      </c>
      <c r="U31" s="48">
        <f t="shared" si="3"/>
        <v>43601466</v>
      </c>
      <c r="V31" s="48">
        <f t="shared" si="4"/>
        <v>57215838</v>
      </c>
      <c r="W31" s="571">
        <v>46462565.28</v>
      </c>
      <c r="X31" s="48">
        <f t="shared" si="5"/>
        <v>0.2800000011920929</v>
      </c>
      <c r="Y31" s="16">
        <f t="shared" si="6"/>
        <v>209290.83333333334</v>
      </c>
      <c r="Z31" s="341">
        <f t="shared" si="7"/>
        <v>81.20577557563693</v>
      </c>
    </row>
    <row r="32" spans="1:26" ht="16.5">
      <c r="A32" s="349">
        <v>22</v>
      </c>
      <c r="B32" s="373" t="s">
        <v>891</v>
      </c>
      <c r="C32" s="374">
        <v>28792</v>
      </c>
      <c r="D32" s="374">
        <v>45444</v>
      </c>
      <c r="E32" s="374">
        <v>0</v>
      </c>
      <c r="F32" s="492">
        <v>0</v>
      </c>
      <c r="G32" s="492">
        <f t="shared" si="0"/>
        <v>74236</v>
      </c>
      <c r="H32" s="486">
        <f>M32/'T5A_PLAN_vs_PRFM '!I33</f>
        <v>23416.81818181818</v>
      </c>
      <c r="I32" s="486">
        <f>N32/'T5A_PLAN_vs_PRFM '!I33</f>
        <v>41313.181818181816</v>
      </c>
      <c r="J32" s="486">
        <v>0</v>
      </c>
      <c r="K32" s="492">
        <v>0</v>
      </c>
      <c r="L32" s="486">
        <v>64730.00072727273</v>
      </c>
      <c r="M32" s="374">
        <v>5151700</v>
      </c>
      <c r="N32" s="374">
        <f>8373746+715154</f>
        <v>9088900</v>
      </c>
      <c r="O32" s="374">
        <v>0</v>
      </c>
      <c r="P32" s="374">
        <v>0</v>
      </c>
      <c r="Q32" s="374">
        <f t="shared" si="1"/>
        <v>14240600</v>
      </c>
      <c r="R32" s="350"/>
      <c r="T32" s="48">
        <f t="shared" si="2"/>
        <v>6391824</v>
      </c>
      <c r="U32" s="48">
        <f t="shared" si="3"/>
        <v>10088568</v>
      </c>
      <c r="V32" s="48">
        <f t="shared" si="4"/>
        <v>16480392</v>
      </c>
      <c r="W32" s="571">
        <v>14240600.16</v>
      </c>
      <c r="X32" s="48">
        <f t="shared" si="5"/>
        <v>0.1600000001490116</v>
      </c>
      <c r="Y32" s="16">
        <f t="shared" si="6"/>
        <v>64146.84684684685</v>
      </c>
      <c r="Z32" s="341">
        <f t="shared" si="7"/>
        <v>86.40935239889926</v>
      </c>
    </row>
    <row r="33" spans="1:26" ht="16.5">
      <c r="A33" s="349">
        <v>23</v>
      </c>
      <c r="B33" s="373" t="s">
        <v>892</v>
      </c>
      <c r="C33" s="374">
        <v>33400</v>
      </c>
      <c r="D33" s="374">
        <v>56566</v>
      </c>
      <c r="E33" s="374">
        <v>700</v>
      </c>
      <c r="F33" s="492">
        <v>0</v>
      </c>
      <c r="G33" s="492">
        <f t="shared" si="0"/>
        <v>90666</v>
      </c>
      <c r="H33" s="486">
        <f>M33/'T5A_PLAN_vs_PRFM '!I34</f>
        <v>33873.67727272727</v>
      </c>
      <c r="I33" s="486">
        <f>N33/'T5A_PLAN_vs_PRFM '!I34</f>
        <v>44098.69545454546</v>
      </c>
      <c r="J33" s="486">
        <f>O33/313</f>
        <v>550.4536741214057</v>
      </c>
      <c r="K33" s="492">
        <v>0</v>
      </c>
      <c r="L33" s="486">
        <v>78755.5199090909</v>
      </c>
      <c r="M33" s="374">
        <f>7112797+339412</f>
        <v>7452209</v>
      </c>
      <c r="N33" s="374">
        <f>6407890+1793823+1500000</f>
        <v>9701713</v>
      </c>
      <c r="O33" s="374">
        <v>172292</v>
      </c>
      <c r="P33" s="374">
        <v>0</v>
      </c>
      <c r="Q33" s="374">
        <f t="shared" si="1"/>
        <v>17326214</v>
      </c>
      <c r="R33" s="350"/>
      <c r="T33" s="48">
        <f t="shared" si="2"/>
        <v>7414800</v>
      </c>
      <c r="U33" s="48">
        <f t="shared" si="3"/>
        <v>12557652</v>
      </c>
      <c r="V33" s="48">
        <f t="shared" si="4"/>
        <v>19972452</v>
      </c>
      <c r="W33" s="571">
        <v>17326214.38</v>
      </c>
      <c r="X33" s="48">
        <f t="shared" si="5"/>
        <v>0.3799999989569187</v>
      </c>
      <c r="Y33" s="16">
        <f t="shared" si="6"/>
        <v>78046.00900900901</v>
      </c>
      <c r="Z33" s="341">
        <f t="shared" si="7"/>
        <v>86.0807899422154</v>
      </c>
    </row>
    <row r="34" spans="1:26" ht="16.5">
      <c r="A34" s="349">
        <v>24</v>
      </c>
      <c r="B34" s="373" t="s">
        <v>893</v>
      </c>
      <c r="C34" s="374">
        <v>80906</v>
      </c>
      <c r="D34" s="374">
        <v>218146</v>
      </c>
      <c r="E34" s="374">
        <v>0</v>
      </c>
      <c r="F34" s="492">
        <v>0</v>
      </c>
      <c r="G34" s="492">
        <f t="shared" si="0"/>
        <v>299052</v>
      </c>
      <c r="H34" s="486">
        <f>M34/'T5A_PLAN_vs_PRFM '!I35</f>
        <v>77207.14545454546</v>
      </c>
      <c r="I34" s="486">
        <f>N34/'T5A_PLAN_vs_PRFM '!I35</f>
        <v>216620.3409090909</v>
      </c>
      <c r="J34" s="486">
        <v>0</v>
      </c>
      <c r="K34" s="492">
        <v>0</v>
      </c>
      <c r="L34" s="486">
        <v>293827.4860909091</v>
      </c>
      <c r="M34" s="374">
        <f>15485572+1500000</f>
        <v>16985572</v>
      </c>
      <c r="N34" s="374">
        <f>43502798+4153677</f>
        <v>47656475</v>
      </c>
      <c r="O34" s="374">
        <v>0</v>
      </c>
      <c r="P34" s="374">
        <v>0</v>
      </c>
      <c r="Q34" s="374">
        <f t="shared" si="1"/>
        <v>64642047</v>
      </c>
      <c r="R34" s="350"/>
      <c r="T34" s="48">
        <f t="shared" si="2"/>
        <v>17961132</v>
      </c>
      <c r="U34" s="48">
        <f t="shared" si="3"/>
        <v>48428412</v>
      </c>
      <c r="V34" s="48">
        <f t="shared" si="4"/>
        <v>66389544</v>
      </c>
      <c r="W34" s="571">
        <v>64642046.94</v>
      </c>
      <c r="X34" s="48">
        <f t="shared" si="5"/>
        <v>-0.06000000238418579</v>
      </c>
      <c r="Y34" s="16">
        <f t="shared" si="6"/>
        <v>291180.3918918919</v>
      </c>
      <c r="Z34" s="341">
        <f t="shared" si="7"/>
        <v>97.36781291945611</v>
      </c>
    </row>
    <row r="35" spans="1:26" ht="16.5" customHeight="1">
      <c r="A35" s="349">
        <v>25</v>
      </c>
      <c r="B35" s="373" t="s">
        <v>894</v>
      </c>
      <c r="C35" s="374">
        <v>26635</v>
      </c>
      <c r="D35" s="374">
        <v>57414</v>
      </c>
      <c r="E35" s="374">
        <v>0</v>
      </c>
      <c r="F35" s="492">
        <v>0</v>
      </c>
      <c r="G35" s="492">
        <f t="shared" si="0"/>
        <v>84049</v>
      </c>
      <c r="H35" s="486">
        <f>M35/'T5A_PLAN_vs_PRFM '!I36</f>
        <v>18168.675675675677</v>
      </c>
      <c r="I35" s="486">
        <f>N35/'T5A_PLAN_vs_PRFM '!I36</f>
        <v>47578.65315315315</v>
      </c>
      <c r="J35" s="486">
        <v>0</v>
      </c>
      <c r="K35" s="492">
        <v>0</v>
      </c>
      <c r="L35" s="486">
        <v>65747.32882882883</v>
      </c>
      <c r="M35" s="374">
        <v>4033446</v>
      </c>
      <c r="N35" s="374">
        <f>9360967+1201494</f>
        <v>10562461</v>
      </c>
      <c r="O35" s="374">
        <v>0</v>
      </c>
      <c r="P35" s="374">
        <v>0</v>
      </c>
      <c r="Q35" s="374">
        <f t="shared" si="1"/>
        <v>14595907</v>
      </c>
      <c r="R35" s="350"/>
      <c r="T35" s="48">
        <f t="shared" si="2"/>
        <v>5912970</v>
      </c>
      <c r="U35" s="48">
        <f t="shared" si="3"/>
        <v>12745908</v>
      </c>
      <c r="V35" s="48">
        <f t="shared" si="4"/>
        <v>18658878</v>
      </c>
      <c r="W35" s="571">
        <v>14595907</v>
      </c>
      <c r="X35" s="48">
        <f t="shared" si="5"/>
        <v>0</v>
      </c>
      <c r="Y35" s="16">
        <f t="shared" si="6"/>
        <v>65747.32882882883</v>
      </c>
      <c r="Z35" s="341">
        <f t="shared" si="7"/>
        <v>78.22499830911592</v>
      </c>
    </row>
    <row r="36" spans="1:26" ht="16.5">
      <c r="A36" s="349">
        <v>26</v>
      </c>
      <c r="B36" s="373" t="s">
        <v>895</v>
      </c>
      <c r="C36" s="374">
        <v>10804</v>
      </c>
      <c r="D36" s="374">
        <v>47631</v>
      </c>
      <c r="E36" s="374">
        <v>0</v>
      </c>
      <c r="F36" s="492">
        <v>0</v>
      </c>
      <c r="G36" s="492">
        <f t="shared" si="0"/>
        <v>58435</v>
      </c>
      <c r="H36" s="486">
        <f>M36/'T5A_PLAN_vs_PRFM '!I37</f>
        <v>21833.22072072072</v>
      </c>
      <c r="I36" s="486">
        <f>N36/'T5A_PLAN_vs_PRFM '!I37</f>
        <v>35428.57207207207</v>
      </c>
      <c r="J36" s="486">
        <v>0</v>
      </c>
      <c r="K36" s="492">
        <v>0</v>
      </c>
      <c r="L36" s="486">
        <v>57261.792792792796</v>
      </c>
      <c r="M36" s="374">
        <v>4846975</v>
      </c>
      <c r="N36" s="374">
        <f>7365143+500000</f>
        <v>7865143</v>
      </c>
      <c r="O36" s="374">
        <v>0</v>
      </c>
      <c r="P36" s="374"/>
      <c r="Q36" s="374">
        <f t="shared" si="1"/>
        <v>12712118</v>
      </c>
      <c r="R36" s="350"/>
      <c r="T36" s="48">
        <f t="shared" si="2"/>
        <v>2398488</v>
      </c>
      <c r="U36" s="48">
        <f t="shared" si="3"/>
        <v>10574082</v>
      </c>
      <c r="V36" s="48">
        <f t="shared" si="4"/>
        <v>12972570</v>
      </c>
      <c r="W36" s="571">
        <v>12712118</v>
      </c>
      <c r="X36" s="48">
        <f t="shared" si="5"/>
        <v>0</v>
      </c>
      <c r="Y36" s="16">
        <f t="shared" si="6"/>
        <v>57261.792792792796</v>
      </c>
      <c r="Z36" s="341">
        <f t="shared" si="7"/>
        <v>97.99228680207545</v>
      </c>
    </row>
    <row r="37" spans="1:26" ht="16.5">
      <c r="A37" s="349">
        <v>27</v>
      </c>
      <c r="B37" s="373" t="s">
        <v>896</v>
      </c>
      <c r="C37" s="374">
        <v>27305</v>
      </c>
      <c r="D37" s="374">
        <v>97935</v>
      </c>
      <c r="E37" s="374">
        <v>175</v>
      </c>
      <c r="F37" s="492">
        <v>0</v>
      </c>
      <c r="G37" s="492">
        <f t="shared" si="0"/>
        <v>125415</v>
      </c>
      <c r="H37" s="486">
        <f>M37/'T5A_PLAN_vs_PRFM '!I38</f>
        <v>20753.256756756757</v>
      </c>
      <c r="I37" s="486">
        <f>N37/'T5A_PLAN_vs_PRFM '!I38</f>
        <v>87684.81531531531</v>
      </c>
      <c r="J37" s="486">
        <f>175/313</f>
        <v>0.5591054313099042</v>
      </c>
      <c r="K37" s="492">
        <v>0</v>
      </c>
      <c r="L37" s="486">
        <v>108616.73180180181</v>
      </c>
      <c r="M37" s="374">
        <v>4607223</v>
      </c>
      <c r="N37" s="374">
        <f>18964559+501470</f>
        <v>19466029</v>
      </c>
      <c r="O37" s="374">
        <v>39662</v>
      </c>
      <c r="P37" s="374">
        <v>0</v>
      </c>
      <c r="Q37" s="374">
        <f t="shared" si="1"/>
        <v>24112914</v>
      </c>
      <c r="R37" s="350"/>
      <c r="T37" s="48">
        <f t="shared" si="2"/>
        <v>6061710</v>
      </c>
      <c r="U37" s="48">
        <f t="shared" si="3"/>
        <v>21741570</v>
      </c>
      <c r="V37" s="48">
        <f t="shared" si="4"/>
        <v>27803280</v>
      </c>
      <c r="W37" s="571">
        <v>24112914.46</v>
      </c>
      <c r="X37" s="48">
        <f t="shared" si="5"/>
        <v>0.46000000089406967</v>
      </c>
      <c r="Y37" s="16">
        <f t="shared" si="6"/>
        <v>108616.72972972973</v>
      </c>
      <c r="Z37" s="341">
        <f t="shared" si="7"/>
        <v>86.60585235396861</v>
      </c>
    </row>
    <row r="38" spans="1:26" ht="16.5">
      <c r="A38" s="349">
        <v>28</v>
      </c>
      <c r="B38" s="373" t="s">
        <v>897</v>
      </c>
      <c r="C38" s="374">
        <v>24471</v>
      </c>
      <c r="D38" s="374">
        <v>84051</v>
      </c>
      <c r="E38" s="374">
        <v>0</v>
      </c>
      <c r="F38" s="492">
        <v>0</v>
      </c>
      <c r="G38" s="492">
        <f t="shared" si="0"/>
        <v>108522</v>
      </c>
      <c r="H38" s="486">
        <f>M38/'T5A_PLAN_vs_PRFM '!I39</f>
        <v>24008.54954954955</v>
      </c>
      <c r="I38" s="486">
        <f>N38/'T5A_PLAN_vs_PRFM '!I39</f>
        <v>80142.56756756757</v>
      </c>
      <c r="J38" s="486">
        <v>0</v>
      </c>
      <c r="K38" s="492">
        <v>0</v>
      </c>
      <c r="L38" s="486">
        <v>104151.11711711712</v>
      </c>
      <c r="M38" s="374">
        <v>5329898</v>
      </c>
      <c r="N38" s="374">
        <f>17591650+200000</f>
        <v>17791650</v>
      </c>
      <c r="O38" s="374"/>
      <c r="P38" s="374">
        <v>0</v>
      </c>
      <c r="Q38" s="374">
        <f t="shared" si="1"/>
        <v>23121548</v>
      </c>
      <c r="R38" s="350"/>
      <c r="T38" s="48">
        <f t="shared" si="2"/>
        <v>5432562</v>
      </c>
      <c r="U38" s="48">
        <f t="shared" si="3"/>
        <v>18659322</v>
      </c>
      <c r="V38" s="48">
        <f t="shared" si="4"/>
        <v>24091884</v>
      </c>
      <c r="W38" s="571">
        <v>23121548</v>
      </c>
      <c r="X38" s="48">
        <f t="shared" si="5"/>
        <v>0</v>
      </c>
      <c r="Y38" s="16">
        <f t="shared" si="6"/>
        <v>104151.11711711712</v>
      </c>
      <c r="Z38" s="341">
        <f t="shared" si="7"/>
        <v>95.97235317918683</v>
      </c>
    </row>
    <row r="39" spans="1:26" ht="16.5">
      <c r="A39" s="349">
        <v>29</v>
      </c>
      <c r="B39" s="373" t="s">
        <v>898</v>
      </c>
      <c r="C39" s="374">
        <v>9820</v>
      </c>
      <c r="D39" s="374">
        <v>21805</v>
      </c>
      <c r="E39" s="374">
        <v>0</v>
      </c>
      <c r="F39" s="492">
        <v>0</v>
      </c>
      <c r="G39" s="492">
        <f t="shared" si="0"/>
        <v>31625</v>
      </c>
      <c r="H39" s="486">
        <f>M39/'T5A_PLAN_vs_PRFM '!I40</f>
        <v>8792.93832599119</v>
      </c>
      <c r="I39" s="486">
        <f>N39/'T5A_PLAN_vs_PRFM '!I40</f>
        <v>20648.396475770925</v>
      </c>
      <c r="J39" s="486">
        <v>0</v>
      </c>
      <c r="K39" s="492">
        <v>0</v>
      </c>
      <c r="L39" s="486">
        <v>29441.33497797357</v>
      </c>
      <c r="M39" s="374">
        <f>1695997+300000</f>
        <v>1995997</v>
      </c>
      <c r="N39" s="374">
        <f>3881507+805679</f>
        <v>4687186</v>
      </c>
      <c r="O39" s="374">
        <v>0</v>
      </c>
      <c r="P39" s="374">
        <v>0</v>
      </c>
      <c r="Q39" s="374">
        <f t="shared" si="1"/>
        <v>6683183</v>
      </c>
      <c r="R39" s="350"/>
      <c r="T39" s="48">
        <f t="shared" si="2"/>
        <v>2180040</v>
      </c>
      <c r="U39" s="48">
        <f t="shared" si="3"/>
        <v>4840710</v>
      </c>
      <c r="V39" s="48">
        <f t="shared" si="4"/>
        <v>7020750</v>
      </c>
      <c r="W39" s="571">
        <v>6683183.04</v>
      </c>
      <c r="X39" s="48">
        <f t="shared" si="5"/>
        <v>0.0400000000372529</v>
      </c>
      <c r="Y39" s="16">
        <f t="shared" si="6"/>
        <v>30104.42792792793</v>
      </c>
      <c r="Z39" s="341">
        <f t="shared" si="7"/>
        <v>95.19186696578001</v>
      </c>
    </row>
    <row r="40" spans="1:26" ht="16.5">
      <c r="A40" s="349">
        <v>30</v>
      </c>
      <c r="B40" s="373" t="s">
        <v>899</v>
      </c>
      <c r="C40" s="374">
        <v>35168</v>
      </c>
      <c r="D40" s="374">
        <v>160105</v>
      </c>
      <c r="E40" s="374"/>
      <c r="F40" s="492"/>
      <c r="G40" s="492">
        <f t="shared" si="0"/>
        <v>195273</v>
      </c>
      <c r="H40" s="486">
        <f>M40/'T5A_PLAN_vs_PRFM '!I41</f>
        <v>31462.62162162162</v>
      </c>
      <c r="I40" s="486">
        <f>N40/'T5A_PLAN_vs_PRFM '!I41</f>
        <v>133207.64414414414</v>
      </c>
      <c r="J40" s="486"/>
      <c r="K40" s="492"/>
      <c r="L40" s="486">
        <v>164670.26752252254</v>
      </c>
      <c r="M40" s="374">
        <f>6784702+200000</f>
        <v>6984702</v>
      </c>
      <c r="N40" s="374">
        <f>28420053+1152044</f>
        <v>29572097</v>
      </c>
      <c r="O40" s="374"/>
      <c r="P40" s="374"/>
      <c r="Q40" s="374">
        <f t="shared" si="1"/>
        <v>36556799</v>
      </c>
      <c r="R40" s="350"/>
      <c r="T40" s="48">
        <f t="shared" si="2"/>
        <v>7807296</v>
      </c>
      <c r="U40" s="48">
        <f t="shared" si="3"/>
        <v>35543310</v>
      </c>
      <c r="V40" s="48">
        <f t="shared" si="4"/>
        <v>43350606</v>
      </c>
      <c r="W40" s="571">
        <v>36556799.39</v>
      </c>
      <c r="X40" s="48">
        <f t="shared" si="5"/>
        <v>0.39000000059604645</v>
      </c>
      <c r="Y40" s="16">
        <f t="shared" si="6"/>
        <v>164670.26576576577</v>
      </c>
      <c r="Z40" s="341">
        <f t="shared" si="7"/>
        <v>84.32823061343133</v>
      </c>
    </row>
    <row r="41" spans="1:26" ht="16.5">
      <c r="A41" s="349">
        <v>31</v>
      </c>
      <c r="B41" s="373" t="s">
        <v>900</v>
      </c>
      <c r="C41" s="374">
        <v>68792</v>
      </c>
      <c r="D41" s="374">
        <v>146555</v>
      </c>
      <c r="E41" s="374">
        <v>1284</v>
      </c>
      <c r="F41" s="492">
        <v>0</v>
      </c>
      <c r="G41" s="492">
        <f t="shared" si="0"/>
        <v>216631</v>
      </c>
      <c r="H41" s="486">
        <f>M41/'T5A_PLAN_vs_PRFM '!I42</f>
        <v>46730.3963963964</v>
      </c>
      <c r="I41" s="486">
        <f>N41/'T5A_PLAN_vs_PRFM '!I42</f>
        <v>115110.52702702703</v>
      </c>
      <c r="J41" s="486">
        <f>1284/313</f>
        <v>4.10223642172524</v>
      </c>
      <c r="K41" s="492">
        <v>0</v>
      </c>
      <c r="L41" s="486">
        <v>162837.13513513515</v>
      </c>
      <c r="M41" s="374">
        <v>10374148</v>
      </c>
      <c r="N41" s="374">
        <f>22880672+71012+2602853</f>
        <v>25554537</v>
      </c>
      <c r="O41" s="374">
        <v>221159</v>
      </c>
      <c r="P41" s="374">
        <v>0</v>
      </c>
      <c r="Q41" s="374">
        <f t="shared" si="1"/>
        <v>36149844</v>
      </c>
      <c r="R41" s="350"/>
      <c r="T41" s="48">
        <f t="shared" si="2"/>
        <v>15271824</v>
      </c>
      <c r="U41" s="48">
        <f t="shared" si="3"/>
        <v>32535210</v>
      </c>
      <c r="V41" s="48">
        <f t="shared" si="4"/>
        <v>47807034</v>
      </c>
      <c r="W41" s="571">
        <v>36149844</v>
      </c>
      <c r="X41" s="48">
        <f t="shared" si="5"/>
        <v>0</v>
      </c>
      <c r="Y41" s="16">
        <f t="shared" si="6"/>
        <v>162837.13513513515</v>
      </c>
      <c r="Z41" s="341">
        <f t="shared" si="7"/>
        <v>75.16797463665641</v>
      </c>
    </row>
    <row r="42" spans="1:26" ht="16.5">
      <c r="A42" s="349">
        <v>32</v>
      </c>
      <c r="B42" s="373" t="s">
        <v>901</v>
      </c>
      <c r="C42" s="374">
        <v>48886</v>
      </c>
      <c r="D42" s="374">
        <v>42238</v>
      </c>
      <c r="E42" s="374">
        <v>0</v>
      </c>
      <c r="F42" s="492">
        <v>0</v>
      </c>
      <c r="G42" s="492">
        <f t="shared" si="0"/>
        <v>91124</v>
      </c>
      <c r="H42" s="486">
        <f>M42/'T5A_PLAN_vs_PRFM '!I43</f>
        <v>44896.17727272727</v>
      </c>
      <c r="I42" s="486">
        <f>N42/'T5A_PLAN_vs_PRFM '!I43</f>
        <v>36756.82727272727</v>
      </c>
      <c r="J42" s="486">
        <v>0</v>
      </c>
      <c r="K42" s="492">
        <v>0</v>
      </c>
      <c r="L42" s="486">
        <v>81653.004</v>
      </c>
      <c r="M42" s="374">
        <f>8877159+1000000</f>
        <v>9877159</v>
      </c>
      <c r="N42" s="374">
        <f>7330539+755963</f>
        <v>8086502</v>
      </c>
      <c r="O42" s="374">
        <v>0</v>
      </c>
      <c r="P42" s="374">
        <v>0</v>
      </c>
      <c r="Q42" s="374">
        <f t="shared" si="1"/>
        <v>17963661</v>
      </c>
      <c r="R42" s="350"/>
      <c r="T42" s="48">
        <f t="shared" si="2"/>
        <v>10852692</v>
      </c>
      <c r="U42" s="48">
        <f t="shared" si="3"/>
        <v>9376836</v>
      </c>
      <c r="V42" s="48">
        <f t="shared" si="4"/>
        <v>20229528</v>
      </c>
      <c r="W42" s="571">
        <v>17963660.88</v>
      </c>
      <c r="X42" s="48">
        <f t="shared" si="5"/>
        <v>-0.12000000104308128</v>
      </c>
      <c r="Y42" s="16">
        <f t="shared" si="6"/>
        <v>80917.3918918919</v>
      </c>
      <c r="Z42" s="341">
        <f t="shared" si="7"/>
        <v>88.7992097492339</v>
      </c>
    </row>
    <row r="43" spans="1:26" ht="16.5">
      <c r="A43" s="349">
        <v>33</v>
      </c>
      <c r="B43" s="373" t="s">
        <v>902</v>
      </c>
      <c r="C43" s="374">
        <v>10770</v>
      </c>
      <c r="D43" s="374">
        <v>31203</v>
      </c>
      <c r="E43" s="374">
        <v>0</v>
      </c>
      <c r="F43" s="492">
        <v>0</v>
      </c>
      <c r="G43" s="492">
        <f t="shared" si="0"/>
        <v>41973</v>
      </c>
      <c r="H43" s="486">
        <f>M43/'T5A_PLAN_vs_PRFM '!I44</f>
        <v>10602.612612612613</v>
      </c>
      <c r="I43" s="486">
        <f>N43/'T5A_PLAN_vs_PRFM '!I44</f>
        <v>30388.62162162162</v>
      </c>
      <c r="J43" s="486">
        <v>0</v>
      </c>
      <c r="K43" s="492">
        <v>0</v>
      </c>
      <c r="L43" s="486">
        <v>40991.23423423423</v>
      </c>
      <c r="M43" s="374">
        <v>2353780</v>
      </c>
      <c r="N43" s="374">
        <f>6937794+263-191783</f>
        <v>6746274</v>
      </c>
      <c r="O43" s="374">
        <v>0</v>
      </c>
      <c r="P43" s="374">
        <v>0</v>
      </c>
      <c r="Q43" s="374">
        <f t="shared" si="1"/>
        <v>9100054</v>
      </c>
      <c r="R43" s="350"/>
      <c r="T43" s="48">
        <f t="shared" si="2"/>
        <v>2390940</v>
      </c>
      <c r="U43" s="48">
        <f t="shared" si="3"/>
        <v>6927066</v>
      </c>
      <c r="V43" s="48">
        <f t="shared" si="4"/>
        <v>9318006</v>
      </c>
      <c r="W43" s="571">
        <v>9100054</v>
      </c>
      <c r="X43" s="48">
        <f t="shared" si="5"/>
        <v>0</v>
      </c>
      <c r="Y43" s="16">
        <f t="shared" si="6"/>
        <v>40991.23423423423</v>
      </c>
      <c r="Z43" s="341">
        <f t="shared" si="7"/>
        <v>97.66095879311517</v>
      </c>
    </row>
    <row r="44" spans="1:26" ht="16.5">
      <c r="A44" s="349">
        <v>34</v>
      </c>
      <c r="B44" s="373" t="s">
        <v>903</v>
      </c>
      <c r="C44" s="374">
        <v>18866</v>
      </c>
      <c r="D44" s="374">
        <v>41271</v>
      </c>
      <c r="E44" s="374">
        <v>0</v>
      </c>
      <c r="F44" s="492">
        <v>0</v>
      </c>
      <c r="G44" s="492">
        <f t="shared" si="0"/>
        <v>60137</v>
      </c>
      <c r="H44" s="486">
        <f>M44/'T5A_PLAN_vs_PRFM '!I45</f>
        <v>14564.85909090909</v>
      </c>
      <c r="I44" s="486">
        <f>N44/'T5A_PLAN_vs_PRFM '!I45</f>
        <v>32126.136363636364</v>
      </c>
      <c r="J44" s="486">
        <v>0</v>
      </c>
      <c r="K44" s="492">
        <v>0</v>
      </c>
      <c r="L44" s="486">
        <v>46690.99545454545</v>
      </c>
      <c r="M44" s="374">
        <f>2904269+300000</f>
        <v>3204269</v>
      </c>
      <c r="N44" s="374">
        <f>6864792+202958</f>
        <v>7067750</v>
      </c>
      <c r="O44" s="374">
        <v>0</v>
      </c>
      <c r="P44" s="374">
        <v>0</v>
      </c>
      <c r="Q44" s="374">
        <f t="shared" si="1"/>
        <v>10272019</v>
      </c>
      <c r="R44" s="350"/>
      <c r="T44" s="48">
        <f t="shared" si="2"/>
        <v>4188252</v>
      </c>
      <c r="U44" s="48">
        <f t="shared" si="3"/>
        <v>9162162</v>
      </c>
      <c r="V44" s="48">
        <f t="shared" si="4"/>
        <v>13350414</v>
      </c>
      <c r="W44" s="571">
        <v>10272019</v>
      </c>
      <c r="X44" s="48">
        <f t="shared" si="5"/>
        <v>0</v>
      </c>
      <c r="Y44" s="16">
        <f t="shared" si="6"/>
        <v>46270.35585585586</v>
      </c>
      <c r="Z44" s="341">
        <f t="shared" si="7"/>
        <v>76.94157649343309</v>
      </c>
    </row>
    <row r="45" spans="1:26" ht="16.5">
      <c r="A45" s="349">
        <v>35</v>
      </c>
      <c r="B45" s="373" t="s">
        <v>904</v>
      </c>
      <c r="C45" s="374">
        <v>51707</v>
      </c>
      <c r="D45" s="374">
        <v>60768</v>
      </c>
      <c r="E45" s="374">
        <v>0</v>
      </c>
      <c r="F45" s="492">
        <v>0</v>
      </c>
      <c r="G45" s="492">
        <f t="shared" si="0"/>
        <v>112475</v>
      </c>
      <c r="H45" s="486">
        <f>M45/'T5A_PLAN_vs_PRFM '!I46</f>
        <v>43442.82432432433</v>
      </c>
      <c r="I45" s="486">
        <f>N45/'T5A_PLAN_vs_PRFM '!I46</f>
        <v>52825.35135135135</v>
      </c>
      <c r="J45" s="486">
        <v>0</v>
      </c>
      <c r="K45" s="492">
        <v>0</v>
      </c>
      <c r="L45" s="486">
        <v>96268.15554054055</v>
      </c>
      <c r="M45" s="374">
        <f>9344307+300000</f>
        <v>9644307</v>
      </c>
      <c r="N45" s="374">
        <f>11188686+538537+5</f>
        <v>11727228</v>
      </c>
      <c r="O45" s="374">
        <v>0</v>
      </c>
      <c r="P45" s="374">
        <v>0</v>
      </c>
      <c r="Q45" s="374">
        <f t="shared" si="1"/>
        <v>21371535</v>
      </c>
      <c r="R45" s="350"/>
      <c r="T45" s="48">
        <f t="shared" si="2"/>
        <v>11478954</v>
      </c>
      <c r="U45" s="48">
        <f t="shared" si="3"/>
        <v>13490496</v>
      </c>
      <c r="V45" s="48">
        <f t="shared" si="4"/>
        <v>24969450</v>
      </c>
      <c r="W45" s="571">
        <v>21371530.53</v>
      </c>
      <c r="X45" s="48">
        <f t="shared" si="5"/>
        <v>-4.469999998807907</v>
      </c>
      <c r="Y45" s="16">
        <f t="shared" si="6"/>
        <v>96268.17567567568</v>
      </c>
      <c r="Z45" s="341">
        <f t="shared" si="7"/>
        <v>85.59073187435045</v>
      </c>
    </row>
    <row r="46" spans="1:26" ht="16.5">
      <c r="A46" s="830" t="s">
        <v>19</v>
      </c>
      <c r="B46" s="831"/>
      <c r="C46" s="374">
        <f>SUM(C11:C45)</f>
        <v>1240742</v>
      </c>
      <c r="D46" s="374">
        <f aca="true" t="shared" si="8" ref="D46:Q46">SUM(D11:D45)</f>
        <v>3110448</v>
      </c>
      <c r="E46" s="374">
        <f t="shared" si="8"/>
        <v>2911</v>
      </c>
      <c r="F46" s="374">
        <f t="shared" si="8"/>
        <v>257</v>
      </c>
      <c r="G46" s="374">
        <f t="shared" si="8"/>
        <v>4354358</v>
      </c>
      <c r="H46" s="657">
        <f>M46/'T5A_PLAN_vs_PRFM '!I47</f>
        <v>1050062.9324324324</v>
      </c>
      <c r="I46" s="657">
        <f>N46/'T5A_PLAN_vs_PRFM '!I47</f>
        <v>2576610.527027027</v>
      </c>
      <c r="J46" s="657">
        <f t="shared" si="8"/>
        <v>557.517571884984</v>
      </c>
      <c r="K46" s="658">
        <f t="shared" si="8"/>
        <v>257</v>
      </c>
      <c r="L46" s="374">
        <v>3634416.547782949</v>
      </c>
      <c r="M46" s="374">
        <f t="shared" si="8"/>
        <v>233113971</v>
      </c>
      <c r="N46" s="374">
        <f t="shared" si="8"/>
        <v>572007537</v>
      </c>
      <c r="O46" s="374">
        <f t="shared" si="8"/>
        <v>958854</v>
      </c>
      <c r="P46" s="374">
        <f t="shared" si="8"/>
        <v>40341</v>
      </c>
      <c r="Q46" s="374">
        <f t="shared" si="8"/>
        <v>806120703</v>
      </c>
      <c r="R46" s="350"/>
      <c r="S46" s="477"/>
      <c r="T46" s="48">
        <f t="shared" si="2"/>
        <v>275444724</v>
      </c>
      <c r="U46" s="48">
        <f t="shared" si="3"/>
        <v>690519456</v>
      </c>
      <c r="V46" s="48">
        <f t="shared" si="4"/>
        <v>965964180</v>
      </c>
      <c r="W46" s="571">
        <v>806120702.86</v>
      </c>
      <c r="X46" s="48">
        <f t="shared" si="5"/>
        <v>-0.13999998569488525</v>
      </c>
      <c r="Y46" s="16">
        <f t="shared" si="6"/>
        <v>3631174.3378378376</v>
      </c>
      <c r="Z46" s="341">
        <f t="shared" si="7"/>
        <v>83.39172704306439</v>
      </c>
    </row>
    <row r="47" spans="1:18" ht="16.5">
      <c r="A47" s="493"/>
      <c r="B47" s="473"/>
      <c r="C47" s="473"/>
      <c r="D47" s="473"/>
      <c r="E47" s="473"/>
      <c r="F47" s="473"/>
      <c r="G47" s="473"/>
      <c r="H47" s="494"/>
      <c r="I47" s="494"/>
      <c r="J47" s="494"/>
      <c r="K47" s="494"/>
      <c r="L47" s="494"/>
      <c r="M47" s="473"/>
      <c r="N47" s="473"/>
      <c r="O47" s="473"/>
      <c r="P47" s="473"/>
      <c r="Q47" s="473"/>
      <c r="R47" s="350"/>
    </row>
    <row r="48" spans="1:18" ht="16.5">
      <c r="A48" s="472" t="s">
        <v>8</v>
      </c>
      <c r="B48" s="350"/>
      <c r="C48" s="350"/>
      <c r="D48" s="350"/>
      <c r="E48" s="350"/>
      <c r="F48" s="350"/>
      <c r="G48" s="350"/>
      <c r="H48" s="481"/>
      <c r="I48" s="481"/>
      <c r="J48" s="481"/>
      <c r="K48" s="481"/>
      <c r="L48" s="481"/>
      <c r="M48" s="350"/>
      <c r="N48" s="350"/>
      <c r="O48" s="350"/>
      <c r="P48" s="350"/>
      <c r="Q48" s="350"/>
      <c r="R48" s="350"/>
    </row>
    <row r="49" spans="1:18" ht="16.5">
      <c r="A49" s="350" t="s">
        <v>9</v>
      </c>
      <c r="B49" s="350"/>
      <c r="C49" s="350"/>
      <c r="D49" s="350"/>
      <c r="E49" s="350"/>
      <c r="F49" s="350"/>
      <c r="G49" s="350"/>
      <c r="H49" s="481"/>
      <c r="I49" s="481"/>
      <c r="J49" s="481"/>
      <c r="K49" s="481"/>
      <c r="L49" s="481"/>
      <c r="M49" s="350"/>
      <c r="N49" s="350"/>
      <c r="O49" s="350"/>
      <c r="P49" s="350"/>
      <c r="Q49" s="350"/>
      <c r="R49" s="350"/>
    </row>
    <row r="50" spans="1:18" ht="16.5">
      <c r="A50" s="350" t="s">
        <v>10</v>
      </c>
      <c r="B50" s="350"/>
      <c r="C50" s="350"/>
      <c r="D50" s="350"/>
      <c r="E50" s="350"/>
      <c r="F50" s="350"/>
      <c r="G50" s="350"/>
      <c r="H50" s="481"/>
      <c r="I50" s="495"/>
      <c r="J50" s="495"/>
      <c r="K50" s="495"/>
      <c r="L50" s="495"/>
      <c r="M50" s="350"/>
      <c r="N50" s="350"/>
      <c r="O50" s="350"/>
      <c r="P50" s="350"/>
      <c r="Q50" s="350"/>
      <c r="R50" s="350"/>
    </row>
    <row r="51" spans="1:18" ht="16.5">
      <c r="A51" s="350" t="s">
        <v>443</v>
      </c>
      <c r="B51" s="350"/>
      <c r="C51" s="350"/>
      <c r="D51" s="350"/>
      <c r="E51" s="350"/>
      <c r="F51" s="350"/>
      <c r="G51" s="350"/>
      <c r="H51" s="481"/>
      <c r="I51" s="481"/>
      <c r="J51" s="495"/>
      <c r="K51" s="495"/>
      <c r="L51" s="495"/>
      <c r="M51" s="350"/>
      <c r="N51" s="350"/>
      <c r="O51" s="350"/>
      <c r="P51" s="350"/>
      <c r="Q51" s="350"/>
      <c r="R51" s="350"/>
    </row>
    <row r="52" spans="1:18" ht="16.5">
      <c r="A52" s="350"/>
      <c r="B52" s="350"/>
      <c r="C52" s="350" t="s">
        <v>445</v>
      </c>
      <c r="D52" s="350"/>
      <c r="E52" s="473"/>
      <c r="F52" s="473"/>
      <c r="G52" s="473"/>
      <c r="H52" s="494"/>
      <c r="I52" s="494"/>
      <c r="J52" s="494"/>
      <c r="K52" s="494"/>
      <c r="L52" s="494"/>
      <c r="M52" s="473"/>
      <c r="N52" s="350"/>
      <c r="O52" s="350"/>
      <c r="P52" s="350"/>
      <c r="Q52" s="350"/>
      <c r="R52" s="350"/>
    </row>
    <row r="53" spans="1:18" ht="16.5">
      <c r="A53" s="350"/>
      <c r="B53" s="350"/>
      <c r="C53" s="350"/>
      <c r="D53" s="350"/>
      <c r="E53" s="350"/>
      <c r="F53" s="350"/>
      <c r="G53" s="350"/>
      <c r="H53" s="481"/>
      <c r="I53" s="481"/>
      <c r="J53" s="481"/>
      <c r="K53" s="481"/>
      <c r="L53" s="481"/>
      <c r="M53" s="350"/>
      <c r="N53" s="350"/>
      <c r="O53" s="350"/>
      <c r="P53" s="350"/>
      <c r="Q53" s="350"/>
      <c r="R53" s="350"/>
    </row>
    <row r="54" spans="1:18" ht="16.5">
      <c r="A54" s="348" t="s">
        <v>12</v>
      </c>
      <c r="B54" s="348"/>
      <c r="C54" s="348"/>
      <c r="D54" s="83"/>
      <c r="E54" s="83"/>
      <c r="F54" s="83"/>
      <c r="G54" s="83"/>
      <c r="H54" s="83"/>
      <c r="I54" s="83"/>
      <c r="J54" s="481"/>
      <c r="K54" s="481"/>
      <c r="L54" s="481"/>
      <c r="M54" s="350"/>
      <c r="N54" s="350"/>
      <c r="O54" s="833"/>
      <c r="P54" s="833"/>
      <c r="Q54" s="834"/>
      <c r="R54" s="350"/>
    </row>
    <row r="55" spans="1:19" ht="15.75" customHeight="1">
      <c r="A55" s="463"/>
      <c r="B55" s="463"/>
      <c r="C55" s="463"/>
      <c r="D55" s="748" t="s">
        <v>1021</v>
      </c>
      <c r="E55" s="748"/>
      <c r="F55" s="748"/>
      <c r="G55" s="748"/>
      <c r="H55" s="83"/>
      <c r="I55" s="83"/>
      <c r="J55" s="463"/>
      <c r="K55" s="463"/>
      <c r="L55" s="463"/>
      <c r="M55" s="463"/>
      <c r="N55" s="463"/>
      <c r="O55" s="463"/>
      <c r="P55" s="748" t="s">
        <v>1024</v>
      </c>
      <c r="Q55" s="748"/>
      <c r="R55" s="748"/>
      <c r="S55" s="748"/>
    </row>
    <row r="56" spans="1:19" ht="18" customHeight="1">
      <c r="A56" s="463"/>
      <c r="B56" s="463"/>
      <c r="C56" s="463"/>
      <c r="D56" s="748" t="s">
        <v>1022</v>
      </c>
      <c r="E56" s="748"/>
      <c r="F56" s="748"/>
      <c r="G56" s="748"/>
      <c r="H56" s="36"/>
      <c r="I56" s="36"/>
      <c r="J56" s="463"/>
      <c r="K56" s="463"/>
      <c r="L56" s="463"/>
      <c r="M56" s="463"/>
      <c r="N56" s="463"/>
      <c r="O56" s="463"/>
      <c r="P56" s="748" t="s">
        <v>1025</v>
      </c>
      <c r="Q56" s="748"/>
      <c r="R56" s="748"/>
      <c r="S56" s="748"/>
    </row>
    <row r="57" spans="1:19" ht="16.5">
      <c r="A57" s="348"/>
      <c r="B57" s="348"/>
      <c r="C57" s="348"/>
      <c r="D57" s="735" t="s">
        <v>1023</v>
      </c>
      <c r="E57" s="735"/>
      <c r="F57" s="735"/>
      <c r="G57" s="735"/>
      <c r="H57" s="481"/>
      <c r="I57" s="481"/>
      <c r="J57" s="481"/>
      <c r="K57" s="481"/>
      <c r="L57" s="481"/>
      <c r="M57" s="350"/>
      <c r="N57" s="368"/>
      <c r="O57" s="368"/>
      <c r="P57" s="735" t="s">
        <v>1023</v>
      </c>
      <c r="Q57" s="735"/>
      <c r="R57" s="735"/>
      <c r="S57" s="735"/>
    </row>
    <row r="58" spans="1:12" ht="15">
      <c r="A58" s="835"/>
      <c r="B58" s="835"/>
      <c r="C58" s="835"/>
      <c r="D58" s="835"/>
      <c r="E58" s="835"/>
      <c r="F58" s="835"/>
      <c r="G58" s="835"/>
      <c r="H58" s="835"/>
      <c r="I58" s="835"/>
      <c r="J58" s="835"/>
      <c r="K58" s="835"/>
      <c r="L58" s="835"/>
    </row>
  </sheetData>
  <sheetProtection/>
  <mergeCells count="20">
    <mergeCell ref="O1:Q1"/>
    <mergeCell ref="A2:L2"/>
    <mergeCell ref="A3:L3"/>
    <mergeCell ref="A5:L5"/>
    <mergeCell ref="M8:Q8"/>
    <mergeCell ref="A8:A9"/>
    <mergeCell ref="B8:B9"/>
    <mergeCell ref="N7:R7"/>
    <mergeCell ref="A7:C7"/>
    <mergeCell ref="C8:G8"/>
    <mergeCell ref="H8:L8"/>
    <mergeCell ref="O54:Q54"/>
    <mergeCell ref="A46:B46"/>
    <mergeCell ref="A58:L58"/>
    <mergeCell ref="D55:G55"/>
    <mergeCell ref="D56:G56"/>
    <mergeCell ref="D57:G57"/>
    <mergeCell ref="P55:S55"/>
    <mergeCell ref="P56:S56"/>
    <mergeCell ref="P57:S57"/>
  </mergeCells>
  <printOptions horizontalCentered="1"/>
  <pageMargins left="0.7086614173228347" right="0.7086614173228347" top="0.2362204724409449" bottom="0" header="0.31496062992125984" footer="0.25"/>
  <pageSetup fitToHeight="1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SheetLayoutView="100" zoomScalePageLayoutView="0" workbookViewId="0" topLeftCell="A1">
      <pane ySplit="3225" topLeftCell="A43" activePane="topLeft" state="split"/>
      <selection pane="topLeft" activeCell="H1" sqref="H1:I16384"/>
      <selection pane="bottomLeft" activeCell="B48" sqref="B48:G50"/>
    </sheetView>
  </sheetViews>
  <sheetFormatPr defaultColWidth="9.140625" defaultRowHeight="12.75"/>
  <cols>
    <col min="1" max="1" width="6.00390625" style="0" customWidth="1"/>
    <col min="2" max="2" width="15.57421875" style="0" customWidth="1"/>
    <col min="3" max="3" width="17.28125" style="0" customWidth="1"/>
    <col min="4" max="4" width="19.00390625" style="0" customWidth="1"/>
    <col min="5" max="5" width="19.7109375" style="0" customWidth="1"/>
    <col min="6" max="6" width="18.8515625" style="0" customWidth="1"/>
    <col min="7" max="7" width="15.28125" style="0" customWidth="1"/>
    <col min="8" max="9" width="9.421875" style="0" bestFit="1" customWidth="1"/>
  </cols>
  <sheetData>
    <row r="1" spans="1:7" ht="18">
      <c r="A1" s="801" t="s">
        <v>0</v>
      </c>
      <c r="B1" s="801"/>
      <c r="C1" s="801"/>
      <c r="D1" s="801"/>
      <c r="E1" s="801"/>
      <c r="G1" s="194" t="s">
        <v>703</v>
      </c>
    </row>
    <row r="2" spans="1:6" ht="21">
      <c r="A2" s="802" t="s">
        <v>656</v>
      </c>
      <c r="B2" s="802"/>
      <c r="C2" s="802"/>
      <c r="D2" s="802"/>
      <c r="E2" s="802"/>
      <c r="F2" s="802"/>
    </row>
    <row r="3" spans="1:2" ht="15">
      <c r="A3" s="196"/>
      <c r="B3" s="196"/>
    </row>
    <row r="4" spans="1:6" ht="18" customHeight="1">
      <c r="A4" s="803" t="s">
        <v>704</v>
      </c>
      <c r="B4" s="803"/>
      <c r="C4" s="803"/>
      <c r="D4" s="803"/>
      <c r="E4" s="803"/>
      <c r="F4" s="803"/>
    </row>
    <row r="5" spans="1:3" ht="15.75">
      <c r="A5" s="838" t="s">
        <v>1004</v>
      </c>
      <c r="B5" s="838"/>
      <c r="C5" s="838"/>
    </row>
    <row r="6" spans="1:7" ht="15">
      <c r="A6" s="197"/>
      <c r="B6" s="197"/>
      <c r="F6" s="99" t="s">
        <v>820</v>
      </c>
      <c r="G6" s="108"/>
    </row>
    <row r="7" spans="1:7" ht="45.75" customHeight="1">
      <c r="A7" s="512" t="s">
        <v>2</v>
      </c>
      <c r="B7" s="512" t="s">
        <v>3</v>
      </c>
      <c r="C7" s="513" t="s">
        <v>705</v>
      </c>
      <c r="D7" s="513" t="s">
        <v>706</v>
      </c>
      <c r="E7" s="513" t="s">
        <v>707</v>
      </c>
      <c r="F7" s="513" t="s">
        <v>708</v>
      </c>
      <c r="G7" s="514" t="s">
        <v>709</v>
      </c>
    </row>
    <row r="8" spans="1:7" s="194" customFormat="1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</row>
    <row r="9" spans="1:8" s="194" customFormat="1" ht="15">
      <c r="A9" s="200">
        <v>1</v>
      </c>
      <c r="B9" s="328" t="s">
        <v>870</v>
      </c>
      <c r="C9" s="200">
        <f>'enrolment vs availed_PY'!G11+'enrolment vs availed_UPY'!G11</f>
        <v>517461</v>
      </c>
      <c r="D9" s="200">
        <v>412254</v>
      </c>
      <c r="E9" s="200">
        <v>24735</v>
      </c>
      <c r="F9" s="200">
        <v>80472</v>
      </c>
      <c r="G9" s="200">
        <v>0</v>
      </c>
      <c r="H9" s="194" t="e">
        <f>F9+#REF!</f>
        <v>#REF!</v>
      </c>
    </row>
    <row r="10" spans="1:8" s="194" customFormat="1" ht="15">
      <c r="A10" s="200">
        <v>2</v>
      </c>
      <c r="B10" s="328" t="s">
        <v>871</v>
      </c>
      <c r="C10" s="200">
        <f>'enrolment vs availed_PY'!G12+'enrolment vs availed_UPY'!G12</f>
        <v>165604</v>
      </c>
      <c r="D10" s="200">
        <v>49071</v>
      </c>
      <c r="E10" s="200">
        <v>49324</v>
      </c>
      <c r="F10" s="200">
        <v>67209</v>
      </c>
      <c r="G10" s="200">
        <v>0</v>
      </c>
      <c r="H10" s="194" t="e">
        <f>F10+#REF!</f>
        <v>#REF!</v>
      </c>
    </row>
    <row r="11" spans="1:7" s="194" customFormat="1" ht="15">
      <c r="A11" s="200">
        <v>3</v>
      </c>
      <c r="B11" s="328" t="s">
        <v>872</v>
      </c>
      <c r="C11" s="200">
        <f>'enrolment vs availed_PY'!G13+'enrolment vs availed_UPY'!G13</f>
        <v>268736</v>
      </c>
      <c r="D11" s="200">
        <v>241864</v>
      </c>
      <c r="E11" s="200">
        <v>0</v>
      </c>
      <c r="F11" s="200">
        <v>26872</v>
      </c>
      <c r="G11" s="200">
        <v>0</v>
      </c>
    </row>
    <row r="12" spans="1:7" s="194" customFormat="1" ht="15">
      <c r="A12" s="200">
        <v>4</v>
      </c>
      <c r="B12" s="328" t="s">
        <v>873</v>
      </c>
      <c r="C12" s="200">
        <f>'enrolment vs availed_PY'!G14+'enrolment vs availed_UPY'!G14</f>
        <v>485874</v>
      </c>
      <c r="D12" s="200">
        <v>346150</v>
      </c>
      <c r="E12" s="200">
        <v>47838</v>
      </c>
      <c r="F12" s="200">
        <v>91886</v>
      </c>
      <c r="G12" s="200">
        <v>0</v>
      </c>
    </row>
    <row r="13" spans="1:7" s="194" customFormat="1" ht="15">
      <c r="A13" s="200">
        <v>5</v>
      </c>
      <c r="B13" s="328" t="s">
        <v>874</v>
      </c>
      <c r="C13" s="200">
        <f>'enrolment vs availed_PY'!G15+'enrolment vs availed_UPY'!G15</f>
        <v>380518</v>
      </c>
      <c r="D13" s="200">
        <v>304414</v>
      </c>
      <c r="E13" s="200">
        <v>76104</v>
      </c>
      <c r="F13" s="200">
        <v>0</v>
      </c>
      <c r="G13" s="200"/>
    </row>
    <row r="14" spans="1:7" s="194" customFormat="1" ht="15">
      <c r="A14" s="200">
        <v>6</v>
      </c>
      <c r="B14" s="328" t="s">
        <v>875</v>
      </c>
      <c r="C14" s="200">
        <f>'enrolment vs availed_PY'!G16+'enrolment vs availed_UPY'!G16</f>
        <v>117141</v>
      </c>
      <c r="D14" s="200">
        <v>36671</v>
      </c>
      <c r="E14" s="200">
        <v>16392</v>
      </c>
      <c r="F14" s="200">
        <f>C14-D14-E14</f>
        <v>64078</v>
      </c>
      <c r="G14" s="200"/>
    </row>
    <row r="15" spans="1:7" s="194" customFormat="1" ht="15">
      <c r="A15" s="200">
        <v>7</v>
      </c>
      <c r="B15" s="328" t="s">
        <v>876</v>
      </c>
      <c r="C15" s="200">
        <f>'enrolment vs availed_PY'!G17+'enrolment vs availed_UPY'!G17</f>
        <v>291747</v>
      </c>
      <c r="D15" s="200">
        <v>273629</v>
      </c>
      <c r="E15" s="200">
        <v>0</v>
      </c>
      <c r="F15" s="200">
        <v>18118</v>
      </c>
      <c r="G15" s="200">
        <v>0</v>
      </c>
    </row>
    <row r="16" spans="1:7" s="194" customFormat="1" ht="15">
      <c r="A16" s="200">
        <v>8</v>
      </c>
      <c r="B16" s="328" t="s">
        <v>877</v>
      </c>
      <c r="C16" s="200">
        <f>'enrolment vs availed_PY'!G18+'enrolment vs availed_UPY'!G18</f>
        <v>183845</v>
      </c>
      <c r="D16" s="200">
        <v>175246</v>
      </c>
      <c r="E16" s="200">
        <v>6786</v>
      </c>
      <c r="F16" s="200">
        <v>1813</v>
      </c>
      <c r="G16" s="200">
        <v>0</v>
      </c>
    </row>
    <row r="17" spans="1:8" s="194" customFormat="1" ht="15">
      <c r="A17" s="200">
        <v>9</v>
      </c>
      <c r="B17" s="328" t="s">
        <v>878</v>
      </c>
      <c r="C17" s="200">
        <f>'enrolment vs availed_PY'!G19+'enrolment vs availed_UPY'!G19</f>
        <v>272490</v>
      </c>
      <c r="D17" s="200">
        <v>217390</v>
      </c>
      <c r="E17" s="200">
        <v>13587</v>
      </c>
      <c r="F17" s="200">
        <v>41513</v>
      </c>
      <c r="G17" s="200">
        <v>0</v>
      </c>
      <c r="H17" s="194" t="e">
        <f>F17+#REF!</f>
        <v>#REF!</v>
      </c>
    </row>
    <row r="18" spans="1:7" s="194" customFormat="1" ht="15">
      <c r="A18" s="200">
        <v>10</v>
      </c>
      <c r="B18" s="328" t="s">
        <v>879</v>
      </c>
      <c r="C18" s="200">
        <f>'enrolment vs availed_PY'!G20+'enrolment vs availed_UPY'!G20</f>
        <v>101507</v>
      </c>
      <c r="D18" s="200">
        <v>99233</v>
      </c>
      <c r="E18" s="200">
        <v>1257</v>
      </c>
      <c r="F18" s="200">
        <v>1017</v>
      </c>
      <c r="G18" s="200"/>
    </row>
    <row r="19" spans="1:7" s="194" customFormat="1" ht="15">
      <c r="A19" s="200">
        <v>11</v>
      </c>
      <c r="B19" s="328" t="s">
        <v>880</v>
      </c>
      <c r="C19" s="200">
        <f>'enrolment vs availed_PY'!G21+'enrolment vs availed_UPY'!G21</f>
        <v>126840</v>
      </c>
      <c r="D19" s="200">
        <v>126000</v>
      </c>
      <c r="E19" s="200">
        <v>800</v>
      </c>
      <c r="F19" s="200">
        <v>40</v>
      </c>
      <c r="G19" s="200">
        <v>0</v>
      </c>
    </row>
    <row r="20" spans="1:7" s="194" customFormat="1" ht="15">
      <c r="A20" s="200">
        <v>12</v>
      </c>
      <c r="B20" s="328" t="s">
        <v>881</v>
      </c>
      <c r="C20" s="200">
        <f>'enrolment vs availed_PY'!G22+'enrolment vs availed_UPY'!G22</f>
        <v>160163</v>
      </c>
      <c r="D20" s="200">
        <v>146548</v>
      </c>
      <c r="E20" s="200">
        <v>8939</v>
      </c>
      <c r="F20" s="200">
        <v>4676</v>
      </c>
      <c r="G20" s="200">
        <v>0</v>
      </c>
    </row>
    <row r="21" spans="1:7" s="194" customFormat="1" ht="15">
      <c r="A21" s="200">
        <v>13</v>
      </c>
      <c r="B21" s="328" t="s">
        <v>882</v>
      </c>
      <c r="C21" s="200">
        <f>'enrolment vs availed_PY'!G23+'enrolment vs availed_UPY'!G23</f>
        <v>544582</v>
      </c>
      <c r="D21" s="200">
        <v>436239</v>
      </c>
      <c r="E21" s="200">
        <v>0</v>
      </c>
      <c r="F21" s="200">
        <v>108343</v>
      </c>
      <c r="G21" s="200"/>
    </row>
    <row r="22" spans="1:8" s="194" customFormat="1" ht="15">
      <c r="A22" s="200">
        <v>14</v>
      </c>
      <c r="B22" s="328" t="s">
        <v>883</v>
      </c>
      <c r="C22" s="200">
        <f>'enrolment vs availed_PY'!G24+'enrolment vs availed_UPY'!G24</f>
        <v>256601</v>
      </c>
      <c r="D22" s="200">
        <v>203288</v>
      </c>
      <c r="E22" s="200">
        <v>53313</v>
      </c>
      <c r="F22" s="200">
        <v>0</v>
      </c>
      <c r="G22" s="200">
        <v>0</v>
      </c>
      <c r="H22" s="194" t="e">
        <f>E22+#REF!</f>
        <v>#REF!</v>
      </c>
    </row>
    <row r="23" spans="1:9" s="194" customFormat="1" ht="15">
      <c r="A23" s="200">
        <v>15</v>
      </c>
      <c r="B23" s="328" t="s">
        <v>884</v>
      </c>
      <c r="C23" s="200">
        <f>'enrolment vs availed_PY'!G25+'enrolment vs availed_UPY'!G25</f>
        <v>403997</v>
      </c>
      <c r="D23" s="200">
        <v>375718</v>
      </c>
      <c r="E23" s="200">
        <v>3842</v>
      </c>
      <c r="F23" s="200">
        <v>24437</v>
      </c>
      <c r="G23" s="200">
        <v>0</v>
      </c>
      <c r="I23" s="194">
        <f>1189692+784663</f>
        <v>1974355</v>
      </c>
    </row>
    <row r="24" spans="1:9" s="194" customFormat="1" ht="15">
      <c r="A24" s="200">
        <v>16</v>
      </c>
      <c r="B24" s="328" t="s">
        <v>885</v>
      </c>
      <c r="C24" s="200">
        <f>'enrolment vs availed_PY'!G26+'enrolment vs availed_UPY'!G26</f>
        <v>329262</v>
      </c>
      <c r="D24" s="200">
        <v>302608</v>
      </c>
      <c r="E24" s="200">
        <v>0</v>
      </c>
      <c r="F24" s="200">
        <v>26654</v>
      </c>
      <c r="G24" s="200">
        <v>0</v>
      </c>
      <c r="I24" s="194">
        <f>699678*100/I23</f>
        <v>35.438307700489524</v>
      </c>
    </row>
    <row r="25" spans="1:9" s="194" customFormat="1" ht="15">
      <c r="A25" s="200">
        <v>17</v>
      </c>
      <c r="B25" s="328" t="s">
        <v>886</v>
      </c>
      <c r="C25" s="200">
        <f>'enrolment vs availed_PY'!G27+'enrolment vs availed_UPY'!G27</f>
        <v>699678</v>
      </c>
      <c r="D25" s="200">
        <v>417897</v>
      </c>
      <c r="E25" s="200">
        <v>154231</v>
      </c>
      <c r="F25" s="200">
        <f>C25-D25-E25</f>
        <v>127550</v>
      </c>
      <c r="G25" s="200"/>
      <c r="I25" s="194">
        <f>440331+138498+446636+185832</f>
        <v>1211297</v>
      </c>
    </row>
    <row r="26" spans="1:9" s="194" customFormat="1" ht="15">
      <c r="A26" s="200">
        <v>18</v>
      </c>
      <c r="B26" s="328" t="s">
        <v>887</v>
      </c>
      <c r="C26" s="200">
        <f>'enrolment vs availed_PY'!G28+'enrolment vs availed_UPY'!G28</f>
        <v>376103</v>
      </c>
      <c r="D26" s="200">
        <v>264212</v>
      </c>
      <c r="E26" s="200">
        <v>8890</v>
      </c>
      <c r="F26" s="200">
        <v>103001</v>
      </c>
      <c r="G26" s="200">
        <v>0</v>
      </c>
      <c r="I26" s="194">
        <f>I25*34.5%</f>
        <v>417897.46499999997</v>
      </c>
    </row>
    <row r="27" spans="1:7" s="194" customFormat="1" ht="15">
      <c r="A27" s="200">
        <v>19</v>
      </c>
      <c r="B27" s="328" t="s">
        <v>888</v>
      </c>
      <c r="C27" s="200">
        <f>'enrolment vs availed_PY'!G29+'enrolment vs availed_UPY'!G29</f>
        <v>405767</v>
      </c>
      <c r="D27" s="200">
        <v>328671</v>
      </c>
      <c r="E27" s="200">
        <v>32461</v>
      </c>
      <c r="F27" s="200">
        <v>44635</v>
      </c>
      <c r="G27" s="200"/>
    </row>
    <row r="28" spans="1:7" s="194" customFormat="1" ht="15">
      <c r="A28" s="200">
        <v>20</v>
      </c>
      <c r="B28" s="328" t="s">
        <v>889</v>
      </c>
      <c r="C28" s="200">
        <f>'enrolment vs availed_PY'!G30+'enrolment vs availed_UPY'!G30</f>
        <v>186229</v>
      </c>
      <c r="D28" s="200">
        <v>150710</v>
      </c>
      <c r="E28" s="200">
        <v>0</v>
      </c>
      <c r="F28" s="200">
        <v>35519</v>
      </c>
      <c r="G28" s="200">
        <v>0</v>
      </c>
    </row>
    <row r="29" spans="1:7" s="194" customFormat="1" ht="15">
      <c r="A29" s="200">
        <v>21</v>
      </c>
      <c r="B29" s="328" t="s">
        <v>890</v>
      </c>
      <c r="C29" s="200">
        <f>'enrolment vs availed_PY'!G31+'enrolment vs availed_UPY'!G31</f>
        <v>693677</v>
      </c>
      <c r="D29" s="200">
        <v>672867</v>
      </c>
      <c r="E29" s="200">
        <v>0</v>
      </c>
      <c r="F29" s="200">
        <v>20810</v>
      </c>
      <c r="G29" s="200">
        <v>0</v>
      </c>
    </row>
    <row r="30" spans="1:7" s="194" customFormat="1" ht="15">
      <c r="A30" s="200">
        <v>22</v>
      </c>
      <c r="B30" s="328" t="s">
        <v>891</v>
      </c>
      <c r="C30" s="200">
        <f>'enrolment vs availed_PY'!G32+'enrolment vs availed_UPY'!G32</f>
        <v>189177</v>
      </c>
      <c r="D30" s="200">
        <v>154585</v>
      </c>
      <c r="E30" s="200">
        <v>34592</v>
      </c>
      <c r="F30" s="200">
        <v>0</v>
      </c>
      <c r="G30" s="200">
        <v>0</v>
      </c>
    </row>
    <row r="31" spans="1:7" s="194" customFormat="1" ht="15">
      <c r="A31" s="200">
        <v>23</v>
      </c>
      <c r="B31" s="328" t="s">
        <v>892</v>
      </c>
      <c r="C31" s="200">
        <f>'enrolment vs availed_PY'!G33+'enrolment vs availed_UPY'!G33</f>
        <v>250596</v>
      </c>
      <c r="D31" s="200">
        <v>200478</v>
      </c>
      <c r="E31" s="200">
        <v>7986</v>
      </c>
      <c r="F31" s="200">
        <v>42132</v>
      </c>
      <c r="G31" s="200"/>
    </row>
    <row r="32" spans="1:7" s="194" customFormat="1" ht="15">
      <c r="A32" s="200">
        <v>24</v>
      </c>
      <c r="B32" s="328" t="s">
        <v>893</v>
      </c>
      <c r="C32" s="200">
        <f>'enrolment vs availed_PY'!G34+'enrolment vs availed_UPY'!G34</f>
        <v>762852</v>
      </c>
      <c r="D32" s="200">
        <v>579768</v>
      </c>
      <c r="E32" s="200">
        <v>98311</v>
      </c>
      <c r="F32" s="200">
        <v>84773</v>
      </c>
      <c r="G32" s="200"/>
    </row>
    <row r="33" spans="1:7" s="194" customFormat="1" ht="15">
      <c r="A33" s="200">
        <v>25</v>
      </c>
      <c r="B33" s="328" t="s">
        <v>894</v>
      </c>
      <c r="C33" s="200">
        <f>'enrolment vs availed_PY'!G35+'enrolment vs availed_UPY'!G35</f>
        <v>203676</v>
      </c>
      <c r="D33" s="200">
        <v>181389</v>
      </c>
      <c r="E33" s="200">
        <v>22287</v>
      </c>
      <c r="F33" s="200">
        <v>0</v>
      </c>
      <c r="G33" s="200">
        <v>0</v>
      </c>
    </row>
    <row r="34" spans="1:7" s="194" customFormat="1" ht="15">
      <c r="A34" s="200">
        <v>26</v>
      </c>
      <c r="B34" s="328" t="s">
        <v>895</v>
      </c>
      <c r="C34" s="200">
        <f>'enrolment vs availed_PY'!G36+'enrolment vs availed_UPY'!G36</f>
        <v>142390</v>
      </c>
      <c r="D34" s="200">
        <v>123808</v>
      </c>
      <c r="E34" s="200">
        <v>3526</v>
      </c>
      <c r="F34" s="200">
        <v>8718</v>
      </c>
      <c r="G34" s="200"/>
    </row>
    <row r="35" spans="1:7" s="194" customFormat="1" ht="15">
      <c r="A35" s="200">
        <v>27</v>
      </c>
      <c r="B35" s="328" t="s">
        <v>896</v>
      </c>
      <c r="C35" s="200">
        <f>'enrolment vs availed_PY'!G37+'enrolment vs availed_UPY'!G37</f>
        <v>305171</v>
      </c>
      <c r="D35" s="200">
        <v>247188</v>
      </c>
      <c r="E35" s="200">
        <v>1978</v>
      </c>
      <c r="F35" s="200">
        <v>56005</v>
      </c>
      <c r="G35" s="200"/>
    </row>
    <row r="36" spans="1:7" s="194" customFormat="1" ht="15">
      <c r="A36" s="200">
        <v>28</v>
      </c>
      <c r="B36" s="328" t="s">
        <v>897</v>
      </c>
      <c r="C36" s="200">
        <f>'enrolment vs availed_PY'!G38+'enrolment vs availed_UPY'!G38</f>
        <v>274623</v>
      </c>
      <c r="D36" s="200">
        <v>274319</v>
      </c>
      <c r="E36" s="200">
        <v>0</v>
      </c>
      <c r="F36" s="200">
        <v>304</v>
      </c>
      <c r="G36" s="200">
        <v>0</v>
      </c>
    </row>
    <row r="37" spans="1:7" s="194" customFormat="1" ht="15">
      <c r="A37" s="200">
        <v>29</v>
      </c>
      <c r="B37" s="328" t="s">
        <v>898</v>
      </c>
      <c r="C37" s="200">
        <f>'enrolment vs availed_PY'!G39+'enrolment vs availed_UPY'!G39</f>
        <v>71391</v>
      </c>
      <c r="D37" s="200">
        <v>70823</v>
      </c>
      <c r="E37" s="200">
        <v>0</v>
      </c>
      <c r="F37" s="200">
        <v>568</v>
      </c>
      <c r="G37" s="200">
        <v>0</v>
      </c>
    </row>
    <row r="38" spans="1:7" s="194" customFormat="1" ht="15">
      <c r="A38" s="200">
        <v>30</v>
      </c>
      <c r="B38" s="328" t="s">
        <v>899</v>
      </c>
      <c r="C38" s="200">
        <f>'enrolment vs availed_PY'!G40+'enrolment vs availed_UPY'!G40</f>
        <v>513419</v>
      </c>
      <c r="D38" s="200">
        <v>442759</v>
      </c>
      <c r="E38" s="200">
        <v>21374</v>
      </c>
      <c r="F38" s="200">
        <v>49286</v>
      </c>
      <c r="G38" s="200">
        <v>0</v>
      </c>
    </row>
    <row r="39" spans="1:7" s="194" customFormat="1" ht="15">
      <c r="A39" s="200">
        <v>31</v>
      </c>
      <c r="B39" s="328" t="s">
        <v>900</v>
      </c>
      <c r="C39" s="200">
        <f>'enrolment vs availed_PY'!G41+'enrolment vs availed_UPY'!G41</f>
        <v>541930</v>
      </c>
      <c r="D39" s="200">
        <v>487782</v>
      </c>
      <c r="E39" s="200">
        <v>43358</v>
      </c>
      <c r="F39" s="200">
        <v>10790</v>
      </c>
      <c r="G39" s="200"/>
    </row>
    <row r="40" spans="1:7" s="194" customFormat="1" ht="15">
      <c r="A40" s="200">
        <v>32</v>
      </c>
      <c r="B40" s="328" t="s">
        <v>901</v>
      </c>
      <c r="C40" s="200">
        <f>'enrolment vs availed_PY'!G42+'enrolment vs availed_UPY'!G42</f>
        <v>255173</v>
      </c>
      <c r="D40" s="200">
        <v>158207</v>
      </c>
      <c r="E40" s="200">
        <v>25298</v>
      </c>
      <c r="F40" s="200">
        <v>71668</v>
      </c>
      <c r="G40" s="200"/>
    </row>
    <row r="41" spans="1:7" ht="15">
      <c r="A41" s="200">
        <v>33</v>
      </c>
      <c r="B41" s="328" t="s">
        <v>902</v>
      </c>
      <c r="C41" s="200">
        <f>'enrolment vs availed_PY'!G43+'enrolment vs availed_UPY'!G43</f>
        <v>98790</v>
      </c>
      <c r="D41" s="502">
        <v>89801</v>
      </c>
      <c r="E41" s="502">
        <v>8989</v>
      </c>
      <c r="F41" s="502">
        <v>0</v>
      </c>
      <c r="G41" s="8">
        <v>0</v>
      </c>
    </row>
    <row r="42" spans="1:7" ht="15">
      <c r="A42" s="200">
        <v>34</v>
      </c>
      <c r="B42" s="328" t="s">
        <v>903</v>
      </c>
      <c r="C42" s="200">
        <f>'enrolment vs availed_PY'!G44+'enrolment vs availed_UPY'!G44</f>
        <v>141142</v>
      </c>
      <c r="D42" s="502">
        <v>101622</v>
      </c>
      <c r="E42" s="502">
        <v>7928</v>
      </c>
      <c r="F42" s="502">
        <v>31592</v>
      </c>
      <c r="G42" s="9"/>
    </row>
    <row r="43" spans="1:7" ht="15">
      <c r="A43" s="200">
        <v>35</v>
      </c>
      <c r="B43" s="328" t="s">
        <v>904</v>
      </c>
      <c r="C43" s="200">
        <f>'enrolment vs availed_PY'!G45+'enrolment vs availed_UPY'!G45</f>
        <v>293996</v>
      </c>
      <c r="D43" s="502">
        <v>208737</v>
      </c>
      <c r="E43" s="502">
        <v>9817</v>
      </c>
      <c r="F43" s="502">
        <v>75442</v>
      </c>
      <c r="G43" s="9"/>
    </row>
    <row r="44" spans="1:7" ht="12.75">
      <c r="A44" s="9"/>
      <c r="B44" s="9"/>
      <c r="C44" s="502">
        <f>SUM(C9:C43)</f>
        <v>11012148</v>
      </c>
      <c r="D44" s="502">
        <f>SUM(D9:D43)</f>
        <v>8901946</v>
      </c>
      <c r="E44" s="502">
        <f>SUM(E9:E43)</f>
        <v>783943</v>
      </c>
      <c r="F44" s="502">
        <f>SUM(F9:F43)</f>
        <v>1319921</v>
      </c>
      <c r="G44" s="502">
        <f>SUM(G9:G43)</f>
        <v>0</v>
      </c>
    </row>
    <row r="48" spans="1:7" ht="15" customHeight="1">
      <c r="A48" s="303"/>
      <c r="B48" s="748" t="s">
        <v>1021</v>
      </c>
      <c r="C48" s="748"/>
      <c r="D48" s="83"/>
      <c r="E48" s="83"/>
      <c r="F48" s="748" t="s">
        <v>1024</v>
      </c>
      <c r="G48" s="748"/>
    </row>
    <row r="49" spans="1:7" ht="15" customHeight="1">
      <c r="A49" s="303"/>
      <c r="B49" s="748" t="s">
        <v>1022</v>
      </c>
      <c r="C49" s="748"/>
      <c r="D49" s="83"/>
      <c r="E49" s="83"/>
      <c r="F49" s="748" t="s">
        <v>1025</v>
      </c>
      <c r="G49" s="748"/>
    </row>
    <row r="50" spans="1:7" ht="15" customHeight="1">
      <c r="A50" s="303"/>
      <c r="B50" s="735" t="s">
        <v>1023</v>
      </c>
      <c r="C50" s="735"/>
      <c r="D50" s="36"/>
      <c r="E50" s="36"/>
      <c r="F50" s="735" t="s">
        <v>1023</v>
      </c>
      <c r="G50" s="735"/>
    </row>
    <row r="51" spans="1:7" ht="12.75">
      <c r="A51" s="303" t="s">
        <v>12</v>
      </c>
      <c r="C51" s="303"/>
      <c r="D51" s="303"/>
      <c r="E51" s="303"/>
      <c r="F51" s="305"/>
      <c r="G51" s="306"/>
    </row>
    <row r="52" spans="1:11" ht="12.75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</row>
  </sheetData>
  <sheetProtection/>
  <mergeCells count="10">
    <mergeCell ref="F49:G49"/>
    <mergeCell ref="B50:C50"/>
    <mergeCell ref="F50:G50"/>
    <mergeCell ref="A1:E1"/>
    <mergeCell ref="A2:F2"/>
    <mergeCell ref="A4:F4"/>
    <mergeCell ref="A5:C5"/>
    <mergeCell ref="B48:C48"/>
    <mergeCell ref="F48:G48"/>
    <mergeCell ref="B49:C49"/>
  </mergeCells>
  <printOptions horizontalCentered="1"/>
  <pageMargins left="0.7086614173228347" right="0.7086614173228347" top="0.2362204724409449" bottom="0" header="0.27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BreakPreview" zoomScale="90" zoomScaleSheetLayoutView="90" zoomScalePageLayoutView="0" workbookViewId="0" topLeftCell="A1">
      <pane xSplit="2" ySplit="11" topLeftCell="E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1" sqref="K1:S16384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5.1406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735"/>
      <c r="F1" s="735"/>
      <c r="G1" s="735"/>
      <c r="H1" s="735"/>
      <c r="I1" s="735"/>
      <c r="J1" s="134" t="s">
        <v>62</v>
      </c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</row>
    <row r="4" ht="14.25" customHeight="1"/>
    <row r="5" spans="1:10" ht="31.5" customHeight="1">
      <c r="A5" s="840" t="s">
        <v>668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5.75">
      <c r="A8" s="838" t="s">
        <v>1004</v>
      </c>
      <c r="B8" s="838"/>
      <c r="C8" s="838"/>
      <c r="H8" s="804" t="s">
        <v>821</v>
      </c>
      <c r="I8" s="804"/>
      <c r="J8" s="804"/>
    </row>
    <row r="9" spans="1:10" ht="12.75">
      <c r="A9" s="709" t="s">
        <v>2</v>
      </c>
      <c r="B9" s="709" t="s">
        <v>3</v>
      </c>
      <c r="C9" s="694" t="s">
        <v>669</v>
      </c>
      <c r="D9" s="705"/>
      <c r="E9" s="705"/>
      <c r="F9" s="695"/>
      <c r="G9" s="694" t="s">
        <v>103</v>
      </c>
      <c r="H9" s="705"/>
      <c r="I9" s="705"/>
      <c r="J9" s="695"/>
    </row>
    <row r="10" spans="1:10" ht="50.25" customHeight="1">
      <c r="A10" s="709"/>
      <c r="B10" s="709"/>
      <c r="C10" s="5" t="s">
        <v>186</v>
      </c>
      <c r="D10" s="5" t="s">
        <v>17</v>
      </c>
      <c r="E10" s="7" t="s">
        <v>838</v>
      </c>
      <c r="F10" s="7" t="s">
        <v>204</v>
      </c>
      <c r="G10" s="5" t="s">
        <v>186</v>
      </c>
      <c r="H10" s="26" t="s">
        <v>18</v>
      </c>
      <c r="I10" s="103" t="s">
        <v>113</v>
      </c>
      <c r="J10" s="5" t="s">
        <v>205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9">
        <v>1</v>
      </c>
      <c r="B12" s="328" t="s">
        <v>870</v>
      </c>
      <c r="C12" s="20">
        <v>3150</v>
      </c>
      <c r="D12" s="20">
        <v>269061</v>
      </c>
      <c r="E12" s="20">
        <v>222</v>
      </c>
      <c r="F12" s="102">
        <f>D12*E12</f>
        <v>59731542</v>
      </c>
      <c r="G12" s="20">
        <f>'AT3A_cvrg(Insti)_PY'!H12+'AT3A_cvrg(Insti)_PY'!I12+'AT3A_cvrg(Insti)_PY'!K12</f>
        <v>3133</v>
      </c>
      <c r="H12" s="29">
        <f>'enrolment vs availed_PY'!Q11</f>
        <v>62001368</v>
      </c>
      <c r="I12" s="29">
        <v>222</v>
      </c>
      <c r="J12" s="536">
        <f>H12/I12</f>
        <v>279285.4414414414</v>
      </c>
    </row>
    <row r="13" spans="1:10" ht="12.75">
      <c r="A13" s="19">
        <v>2</v>
      </c>
      <c r="B13" s="328" t="s">
        <v>871</v>
      </c>
      <c r="C13" s="20">
        <v>643</v>
      </c>
      <c r="D13" s="20">
        <v>76396</v>
      </c>
      <c r="E13" s="20">
        <v>222</v>
      </c>
      <c r="F13" s="102">
        <f aca="true" t="shared" si="0" ref="F13:F47">D13*E13</f>
        <v>16959912</v>
      </c>
      <c r="G13" s="20">
        <f>'AT3A_cvrg(Insti)_PY'!H13+'AT3A_cvrg(Insti)_PY'!I13+'AT3A_cvrg(Insti)_PY'!K13</f>
        <v>637</v>
      </c>
      <c r="H13" s="536">
        <v>16726740.01</v>
      </c>
      <c r="I13" s="29">
        <v>222</v>
      </c>
      <c r="J13" s="536">
        <f aca="true" t="shared" si="1" ref="J13:J46">H13/I13</f>
        <v>75345.67572072073</v>
      </c>
    </row>
    <row r="14" spans="1:10" ht="12.75">
      <c r="A14" s="19">
        <v>3</v>
      </c>
      <c r="B14" s="328" t="s">
        <v>872</v>
      </c>
      <c r="C14" s="20">
        <v>1052</v>
      </c>
      <c r="D14" s="20">
        <v>150173</v>
      </c>
      <c r="E14" s="20">
        <v>222</v>
      </c>
      <c r="F14" s="102">
        <f t="shared" si="0"/>
        <v>33338406</v>
      </c>
      <c r="G14" s="20">
        <f>'AT3A_cvrg(Insti)_PY'!H14+'AT3A_cvrg(Insti)_PY'!I14+'AT3A_cvrg(Insti)_PY'!K14</f>
        <v>1012</v>
      </c>
      <c r="H14" s="536">
        <v>33031507.17</v>
      </c>
      <c r="I14" s="29">
        <v>222</v>
      </c>
      <c r="J14" s="536">
        <f t="shared" si="1"/>
        <v>148790.57283783786</v>
      </c>
    </row>
    <row r="15" spans="1:10" ht="12.75">
      <c r="A15" s="19">
        <v>4</v>
      </c>
      <c r="B15" s="328" t="s">
        <v>873</v>
      </c>
      <c r="C15" s="20">
        <v>1453</v>
      </c>
      <c r="D15" s="20">
        <v>246966</v>
      </c>
      <c r="E15" s="20">
        <v>222</v>
      </c>
      <c r="F15" s="102">
        <f t="shared" si="0"/>
        <v>54826452</v>
      </c>
      <c r="G15" s="20">
        <f>'AT3A_cvrg(Insti)_PY'!H15+'AT3A_cvrg(Insti)_PY'!I15+'AT3A_cvrg(Insti)_PY'!K15</f>
        <v>1464</v>
      </c>
      <c r="H15" s="536">
        <v>54498272.79</v>
      </c>
      <c r="I15" s="29">
        <v>222</v>
      </c>
      <c r="J15" s="536">
        <v>250488</v>
      </c>
    </row>
    <row r="16" spans="1:10" ht="12.75">
      <c r="A16" s="19">
        <v>5</v>
      </c>
      <c r="B16" s="328" t="s">
        <v>874</v>
      </c>
      <c r="C16" s="20">
        <v>1975</v>
      </c>
      <c r="D16" s="20">
        <v>197997</v>
      </c>
      <c r="E16" s="20">
        <v>222</v>
      </c>
      <c r="F16" s="102">
        <f t="shared" si="0"/>
        <v>43955334</v>
      </c>
      <c r="G16" s="20">
        <f>'AT3A_cvrg(Insti)_PY'!H16+'AT3A_cvrg(Insti)_PY'!I16+'AT3A_cvrg(Insti)_PY'!K16</f>
        <v>1933</v>
      </c>
      <c r="H16" s="536">
        <v>43809319</v>
      </c>
      <c r="I16" s="29">
        <v>222</v>
      </c>
      <c r="J16" s="536">
        <f t="shared" si="1"/>
        <v>197339.27477477476</v>
      </c>
    </row>
    <row r="17" spans="1:10" ht="12.75">
      <c r="A17" s="19">
        <v>6</v>
      </c>
      <c r="B17" s="328" t="s">
        <v>875</v>
      </c>
      <c r="C17" s="20">
        <v>593</v>
      </c>
      <c r="D17" s="20">
        <v>64334</v>
      </c>
      <c r="E17" s="20">
        <v>222</v>
      </c>
      <c r="F17" s="102">
        <f t="shared" si="0"/>
        <v>14282148</v>
      </c>
      <c r="G17" s="20">
        <f>'AT3A_cvrg(Insti)_PY'!H17+'AT3A_cvrg(Insti)_PY'!I17+'AT3A_cvrg(Insti)_PY'!K17</f>
        <v>593</v>
      </c>
      <c r="H17" s="536">
        <v>14265076.5</v>
      </c>
      <c r="I17" s="29">
        <v>222</v>
      </c>
      <c r="J17" s="536">
        <f t="shared" si="1"/>
        <v>64257.10135135135</v>
      </c>
    </row>
    <row r="18" spans="1:10" ht="12.75">
      <c r="A18" s="19">
        <v>7</v>
      </c>
      <c r="B18" s="328" t="s">
        <v>876</v>
      </c>
      <c r="C18" s="20">
        <v>979</v>
      </c>
      <c r="D18" s="20">
        <v>156901</v>
      </c>
      <c r="E18" s="20">
        <v>222</v>
      </c>
      <c r="F18" s="102">
        <f t="shared" si="0"/>
        <v>34832022</v>
      </c>
      <c r="G18" s="20">
        <f>'AT3A_cvrg(Insti)_PY'!H18+'AT3A_cvrg(Insti)_PY'!I18+'AT3A_cvrg(Insti)_PY'!K18</f>
        <v>983</v>
      </c>
      <c r="H18" s="536">
        <v>34532539.44</v>
      </c>
      <c r="I18" s="29">
        <v>222</v>
      </c>
      <c r="J18" s="536">
        <f t="shared" si="1"/>
        <v>155551.97945945946</v>
      </c>
    </row>
    <row r="19" spans="1:10" ht="12.75">
      <c r="A19" s="19">
        <v>8</v>
      </c>
      <c r="B19" s="328" t="s">
        <v>877</v>
      </c>
      <c r="C19" s="20">
        <v>1090</v>
      </c>
      <c r="D19" s="20">
        <v>93222</v>
      </c>
      <c r="E19" s="20">
        <v>222</v>
      </c>
      <c r="F19" s="102">
        <f t="shared" si="0"/>
        <v>20695284</v>
      </c>
      <c r="G19" s="20">
        <f>'AT3A_cvrg(Insti)_PY'!H19+'AT3A_cvrg(Insti)_PY'!I19+'AT3A_cvrg(Insti)_PY'!K19</f>
        <v>1078</v>
      </c>
      <c r="H19" s="536">
        <v>20464873.09</v>
      </c>
      <c r="I19" s="29">
        <v>222</v>
      </c>
      <c r="J19" s="536">
        <f t="shared" si="1"/>
        <v>92184.11301801802</v>
      </c>
    </row>
    <row r="20" spans="1:10" ht="12.75">
      <c r="A20" s="19">
        <v>9</v>
      </c>
      <c r="B20" s="328" t="s">
        <v>878</v>
      </c>
      <c r="C20" s="20">
        <v>1168</v>
      </c>
      <c r="D20" s="20">
        <v>143576</v>
      </c>
      <c r="E20" s="20">
        <v>222</v>
      </c>
      <c r="F20" s="102">
        <f t="shared" si="0"/>
        <v>31873872</v>
      </c>
      <c r="G20" s="20">
        <f>'AT3A_cvrg(Insti)_PY'!H20+'AT3A_cvrg(Insti)_PY'!I20+'AT3A_cvrg(Insti)_PY'!K20</f>
        <v>1161</v>
      </c>
      <c r="H20" s="536">
        <v>31632404.04</v>
      </c>
      <c r="I20" s="29">
        <v>220</v>
      </c>
      <c r="J20" s="536">
        <f t="shared" si="1"/>
        <v>143783.65472727272</v>
      </c>
    </row>
    <row r="21" spans="1:10" ht="12.75">
      <c r="A21" s="19">
        <v>10</v>
      </c>
      <c r="B21" s="328" t="s">
        <v>879</v>
      </c>
      <c r="C21" s="20">
        <v>1134</v>
      </c>
      <c r="D21" s="20">
        <v>53747</v>
      </c>
      <c r="E21" s="20">
        <v>222</v>
      </c>
      <c r="F21" s="102">
        <f t="shared" si="0"/>
        <v>11931834</v>
      </c>
      <c r="G21" s="20">
        <f>'AT3A_cvrg(Insti)_PY'!H21+'AT3A_cvrg(Insti)_PY'!I21+'AT3A_cvrg(Insti)_PY'!K21</f>
        <v>1127</v>
      </c>
      <c r="H21" s="536">
        <v>12417858</v>
      </c>
      <c r="I21" s="29">
        <v>222</v>
      </c>
      <c r="J21" s="536">
        <f t="shared" si="1"/>
        <v>55936.2972972973</v>
      </c>
    </row>
    <row r="22" spans="1:10" ht="12.75">
      <c r="A22" s="19">
        <v>11</v>
      </c>
      <c r="B22" s="328" t="s">
        <v>880</v>
      </c>
      <c r="C22" s="20">
        <v>674</v>
      </c>
      <c r="D22" s="20">
        <v>72404</v>
      </c>
      <c r="E22" s="20">
        <v>222</v>
      </c>
      <c r="F22" s="102">
        <f t="shared" si="0"/>
        <v>16073688</v>
      </c>
      <c r="G22" s="20">
        <f>'AT3A_cvrg(Insti)_PY'!H22+'AT3A_cvrg(Insti)_PY'!I22+'AT3A_cvrg(Insti)_PY'!K22</f>
        <v>673</v>
      </c>
      <c r="H22" s="536">
        <v>15752378.05</v>
      </c>
      <c r="I22" s="29">
        <v>220</v>
      </c>
      <c r="J22" s="536">
        <f t="shared" si="1"/>
        <v>71601.71840909091</v>
      </c>
    </row>
    <row r="23" spans="1:10" ht="12.75">
      <c r="A23" s="19">
        <v>12</v>
      </c>
      <c r="B23" s="328" t="s">
        <v>881</v>
      </c>
      <c r="C23" s="20">
        <v>526</v>
      </c>
      <c r="D23" s="20">
        <v>72972</v>
      </c>
      <c r="E23" s="20">
        <v>222</v>
      </c>
      <c r="F23" s="102">
        <f t="shared" si="0"/>
        <v>16199784</v>
      </c>
      <c r="G23" s="20">
        <f>'AT3A_cvrg(Insti)_PY'!H23+'AT3A_cvrg(Insti)_PY'!I23+'AT3A_cvrg(Insti)_PY'!K23</f>
        <v>526</v>
      </c>
      <c r="H23" s="536">
        <v>15858333.86</v>
      </c>
      <c r="I23" s="29">
        <v>221</v>
      </c>
      <c r="J23" s="536">
        <f t="shared" si="1"/>
        <v>71757.16678733031</v>
      </c>
    </row>
    <row r="24" spans="1:10" ht="12.75">
      <c r="A24" s="19">
        <v>13</v>
      </c>
      <c r="B24" s="328" t="s">
        <v>882</v>
      </c>
      <c r="C24" s="20">
        <v>1533</v>
      </c>
      <c r="D24" s="20">
        <v>244899</v>
      </c>
      <c r="E24" s="20">
        <v>222</v>
      </c>
      <c r="F24" s="102">
        <f t="shared" si="0"/>
        <v>54367578</v>
      </c>
      <c r="G24" s="20">
        <f>'AT3A_cvrg(Insti)_PY'!H24+'AT3A_cvrg(Insti)_PY'!I24+'AT3A_cvrg(Insti)_PY'!K24</f>
        <v>1512</v>
      </c>
      <c r="H24" s="536">
        <v>53956381.33</v>
      </c>
      <c r="I24" s="29">
        <v>222</v>
      </c>
      <c r="J24" s="536">
        <f t="shared" si="1"/>
        <v>243046.76274774774</v>
      </c>
    </row>
    <row r="25" spans="1:10" ht="12.75">
      <c r="A25" s="19">
        <v>14</v>
      </c>
      <c r="B25" s="328" t="s">
        <v>883</v>
      </c>
      <c r="C25" s="20">
        <v>1036</v>
      </c>
      <c r="D25" s="20">
        <v>138836</v>
      </c>
      <c r="E25" s="20">
        <v>222</v>
      </c>
      <c r="F25" s="102">
        <f t="shared" si="0"/>
        <v>30821592</v>
      </c>
      <c r="G25" s="20">
        <f>'AT3A_cvrg(Insti)_PY'!H25+'AT3A_cvrg(Insti)_PY'!I25+'AT3A_cvrg(Insti)_PY'!K25</f>
        <v>1034</v>
      </c>
      <c r="H25" s="536">
        <v>30016631.35</v>
      </c>
      <c r="I25" s="29">
        <v>219</v>
      </c>
      <c r="J25" s="536">
        <f t="shared" si="1"/>
        <v>137062.24360730595</v>
      </c>
    </row>
    <row r="26" spans="1:10" ht="12.75">
      <c r="A26" s="19">
        <v>15</v>
      </c>
      <c r="B26" s="328" t="s">
        <v>884</v>
      </c>
      <c r="C26" s="20">
        <v>1227</v>
      </c>
      <c r="D26" s="20">
        <v>212466</v>
      </c>
      <c r="E26" s="20">
        <v>222</v>
      </c>
      <c r="F26" s="102">
        <f t="shared" si="0"/>
        <v>47167452</v>
      </c>
      <c r="G26" s="20">
        <f>'AT3A_cvrg(Insti)_PY'!H26+'AT3A_cvrg(Insti)_PY'!I26+'AT3A_cvrg(Insti)_PY'!K26</f>
        <v>1223</v>
      </c>
      <c r="H26" s="536">
        <v>46586891</v>
      </c>
      <c r="I26" s="29">
        <v>222</v>
      </c>
      <c r="J26" s="536">
        <f t="shared" si="1"/>
        <v>209850.86036036036</v>
      </c>
    </row>
    <row r="27" spans="1:10" ht="12.75">
      <c r="A27" s="19">
        <v>16</v>
      </c>
      <c r="B27" s="328" t="s">
        <v>885</v>
      </c>
      <c r="C27" s="20">
        <v>857</v>
      </c>
      <c r="D27" s="20">
        <v>163321</v>
      </c>
      <c r="E27" s="20">
        <v>222</v>
      </c>
      <c r="F27" s="102">
        <f t="shared" si="0"/>
        <v>36257262</v>
      </c>
      <c r="G27" s="20">
        <f>'AT3A_cvrg(Insti)_PY'!H27+'AT3A_cvrg(Insti)_PY'!I27+'AT3A_cvrg(Insti)_PY'!K27</f>
        <v>857</v>
      </c>
      <c r="H27" s="536">
        <v>35960685.68</v>
      </c>
      <c r="I27" s="29">
        <v>222</v>
      </c>
      <c r="J27" s="536">
        <f t="shared" si="1"/>
        <v>161985.07063063062</v>
      </c>
    </row>
    <row r="28" spans="1:10" ht="12.75">
      <c r="A28" s="19">
        <v>17</v>
      </c>
      <c r="B28" s="328" t="s">
        <v>886</v>
      </c>
      <c r="C28" s="20">
        <v>589</v>
      </c>
      <c r="D28" s="20">
        <v>268569</v>
      </c>
      <c r="E28" s="20">
        <v>222</v>
      </c>
      <c r="F28" s="102">
        <f t="shared" si="0"/>
        <v>59622318</v>
      </c>
      <c r="G28" s="20">
        <f>'AT3A_cvrg(Insti)_PY'!H28+'AT3A_cvrg(Insti)_PY'!I28+'AT3A_cvrg(Insti)_PY'!K28</f>
        <v>551</v>
      </c>
      <c r="H28" s="536">
        <v>58839574.43</v>
      </c>
      <c r="I28" s="29">
        <v>222</v>
      </c>
      <c r="J28" s="536">
        <f t="shared" si="1"/>
        <v>265043.1280630631</v>
      </c>
    </row>
    <row r="29" spans="1:10" ht="12.75">
      <c r="A29" s="19">
        <v>18</v>
      </c>
      <c r="B29" s="328" t="s">
        <v>887</v>
      </c>
      <c r="C29" s="20">
        <v>1415</v>
      </c>
      <c r="D29" s="20">
        <v>183890</v>
      </c>
      <c r="E29" s="20">
        <v>222</v>
      </c>
      <c r="F29" s="102">
        <f t="shared" si="0"/>
        <v>40823580</v>
      </c>
      <c r="G29" s="20">
        <f>'AT3A_cvrg(Insti)_PY'!H29+'AT3A_cvrg(Insti)_PY'!I29+'AT3A_cvrg(Insti)_PY'!K29</f>
        <v>1405</v>
      </c>
      <c r="H29" s="536">
        <v>40534540.6</v>
      </c>
      <c r="I29" s="29">
        <v>222</v>
      </c>
      <c r="J29" s="536">
        <f t="shared" si="1"/>
        <v>182588.02072072073</v>
      </c>
    </row>
    <row r="30" spans="1:10" ht="12.75">
      <c r="A30" s="19">
        <v>19</v>
      </c>
      <c r="B30" s="328" t="s">
        <v>888</v>
      </c>
      <c r="C30" s="20">
        <v>1608</v>
      </c>
      <c r="D30" s="20">
        <v>221737</v>
      </c>
      <c r="E30" s="20">
        <v>222</v>
      </c>
      <c r="F30" s="102">
        <f t="shared" si="0"/>
        <v>49225614</v>
      </c>
      <c r="G30" s="20">
        <f>'AT3A_cvrg(Insti)_PY'!H30+'AT3A_cvrg(Insti)_PY'!I30+'AT3A_cvrg(Insti)_PY'!K30</f>
        <v>1616</v>
      </c>
      <c r="H30" s="536">
        <v>48176679.67</v>
      </c>
      <c r="I30" s="29">
        <v>222</v>
      </c>
      <c r="J30" s="536">
        <f t="shared" si="1"/>
        <v>217012.0705855856</v>
      </c>
    </row>
    <row r="31" spans="1:10" ht="12.75">
      <c r="A31" s="19">
        <v>20</v>
      </c>
      <c r="B31" s="328" t="s">
        <v>889</v>
      </c>
      <c r="C31" s="20">
        <v>1268</v>
      </c>
      <c r="D31" s="20">
        <v>108068</v>
      </c>
      <c r="E31" s="20">
        <v>222</v>
      </c>
      <c r="F31" s="102">
        <f t="shared" si="0"/>
        <v>23991096</v>
      </c>
      <c r="G31" s="20">
        <f>'AT3A_cvrg(Insti)_PY'!H31+'AT3A_cvrg(Insti)_PY'!I31+'AT3A_cvrg(Insti)_PY'!K31</f>
        <v>1275</v>
      </c>
      <c r="H31" s="536">
        <v>23823130.3</v>
      </c>
      <c r="I31" s="29">
        <v>222</v>
      </c>
      <c r="J31" s="536">
        <f t="shared" si="1"/>
        <v>107311.39774774775</v>
      </c>
    </row>
    <row r="32" spans="1:10" ht="12.75">
      <c r="A32" s="19">
        <v>21</v>
      </c>
      <c r="B32" s="328" t="s">
        <v>890</v>
      </c>
      <c r="C32" s="20">
        <v>2813</v>
      </c>
      <c r="D32" s="20">
        <v>406735</v>
      </c>
      <c r="E32" s="20">
        <v>222</v>
      </c>
      <c r="F32" s="102">
        <f t="shared" si="0"/>
        <v>90295170</v>
      </c>
      <c r="G32" s="20">
        <f>'AT3A_cvrg(Insti)_PY'!H32+'AT3A_cvrg(Insti)_PY'!I32+'AT3A_cvrg(Insti)_PY'!K32</f>
        <v>2791</v>
      </c>
      <c r="H32" s="536">
        <v>85809436</v>
      </c>
      <c r="I32" s="29">
        <v>222</v>
      </c>
      <c r="J32" s="536">
        <f t="shared" si="1"/>
        <v>386528.990990991</v>
      </c>
    </row>
    <row r="33" spans="1:10" ht="12.75">
      <c r="A33" s="19">
        <v>22</v>
      </c>
      <c r="B33" s="328" t="s">
        <v>891</v>
      </c>
      <c r="C33" s="20">
        <v>616</v>
      </c>
      <c r="D33" s="20">
        <v>103264</v>
      </c>
      <c r="E33" s="20">
        <v>222</v>
      </c>
      <c r="F33" s="102">
        <f t="shared" si="0"/>
        <v>22924608</v>
      </c>
      <c r="G33" s="20">
        <f>'AT3A_cvrg(Insti)_PY'!H33+'AT3A_cvrg(Insti)_PY'!I33+'AT3A_cvrg(Insti)_PY'!K33</f>
        <v>617</v>
      </c>
      <c r="H33" s="536">
        <v>22688221.78</v>
      </c>
      <c r="I33" s="29">
        <v>220</v>
      </c>
      <c r="J33" s="536">
        <f t="shared" si="1"/>
        <v>103128.28081818183</v>
      </c>
    </row>
    <row r="34" spans="1:10" ht="12.75">
      <c r="A34" s="19">
        <v>23</v>
      </c>
      <c r="B34" s="328" t="s">
        <v>892</v>
      </c>
      <c r="C34" s="20">
        <v>659</v>
      </c>
      <c r="D34" s="20">
        <v>145385</v>
      </c>
      <c r="E34" s="20">
        <v>222</v>
      </c>
      <c r="F34" s="102">
        <f t="shared" si="0"/>
        <v>32275470</v>
      </c>
      <c r="G34" s="20">
        <f>'AT3A_cvrg(Insti)_PY'!H34+'AT3A_cvrg(Insti)_PY'!I34+'AT3A_cvrg(Insti)_PY'!K34</f>
        <v>652</v>
      </c>
      <c r="H34" s="536">
        <v>31585924.28</v>
      </c>
      <c r="I34" s="29">
        <v>222</v>
      </c>
      <c r="J34" s="536">
        <f t="shared" si="1"/>
        <v>142278.93819819822</v>
      </c>
    </row>
    <row r="35" spans="1:10" ht="12.75">
      <c r="A35" s="19">
        <v>24</v>
      </c>
      <c r="B35" s="328" t="s">
        <v>893</v>
      </c>
      <c r="C35" s="20">
        <v>3137</v>
      </c>
      <c r="D35" s="20">
        <v>427751</v>
      </c>
      <c r="E35" s="20">
        <v>222</v>
      </c>
      <c r="F35" s="102">
        <f t="shared" si="0"/>
        <v>94960722</v>
      </c>
      <c r="G35" s="20">
        <f>'AT3A_cvrg(Insti)_PY'!H35+'AT3A_cvrg(Insti)_PY'!I35+'AT3A_cvrg(Insti)_PY'!K35</f>
        <v>3118</v>
      </c>
      <c r="H35" s="536">
        <v>94293039.2</v>
      </c>
      <c r="I35" s="29">
        <v>220</v>
      </c>
      <c r="J35" s="536">
        <f t="shared" si="1"/>
        <v>428604.72363636363</v>
      </c>
    </row>
    <row r="36" spans="1:10" ht="12.75">
      <c r="A36" s="19">
        <v>25</v>
      </c>
      <c r="B36" s="328" t="s">
        <v>894</v>
      </c>
      <c r="C36" s="20">
        <v>2166</v>
      </c>
      <c r="D36" s="20">
        <v>111799</v>
      </c>
      <c r="E36" s="20">
        <v>222</v>
      </c>
      <c r="F36" s="102">
        <f t="shared" si="0"/>
        <v>24819378</v>
      </c>
      <c r="G36" s="20">
        <f>'AT3A_cvrg(Insti)_PY'!H36+'AT3A_cvrg(Insti)_PY'!I36+'AT3A_cvrg(Insti)_PY'!K36</f>
        <v>2121</v>
      </c>
      <c r="H36" s="536">
        <v>24436318.62</v>
      </c>
      <c r="I36" s="29">
        <v>222</v>
      </c>
      <c r="J36" s="536">
        <f t="shared" si="1"/>
        <v>110073.5072972973</v>
      </c>
    </row>
    <row r="37" spans="1:10" ht="12.75">
      <c r="A37" s="19">
        <v>26</v>
      </c>
      <c r="B37" s="328" t="s">
        <v>895</v>
      </c>
      <c r="C37" s="20">
        <v>1756</v>
      </c>
      <c r="D37" s="20">
        <v>83955</v>
      </c>
      <c r="E37" s="20">
        <v>222</v>
      </c>
      <c r="F37" s="102">
        <f t="shared" si="0"/>
        <v>18638010</v>
      </c>
      <c r="G37" s="20">
        <f>'AT3A_cvrg(Insti)_PY'!H37+'AT3A_cvrg(Insti)_PY'!I37+'AT3A_cvrg(Insti)_PY'!K37</f>
        <v>1729</v>
      </c>
      <c r="H37" s="536">
        <v>18294963.29</v>
      </c>
      <c r="I37" s="29">
        <v>222</v>
      </c>
      <c r="J37" s="536">
        <v>72410</v>
      </c>
    </row>
    <row r="38" spans="1:10" ht="12.75">
      <c r="A38" s="19">
        <v>27</v>
      </c>
      <c r="B38" s="328" t="s">
        <v>896</v>
      </c>
      <c r="C38" s="20">
        <v>1312</v>
      </c>
      <c r="D38" s="20">
        <v>165619</v>
      </c>
      <c r="E38" s="20">
        <v>222</v>
      </c>
      <c r="F38" s="102">
        <f t="shared" si="0"/>
        <v>36767418</v>
      </c>
      <c r="G38" s="20">
        <f>'AT3A_cvrg(Insti)_PY'!H38+'AT3A_cvrg(Insti)_PY'!I38+'AT3A_cvrg(Insti)_PY'!K38</f>
        <v>1306</v>
      </c>
      <c r="H38" s="536">
        <v>36702341.48</v>
      </c>
      <c r="I38" s="29">
        <v>222</v>
      </c>
      <c r="J38" s="536">
        <f t="shared" si="1"/>
        <v>165325.8625225225</v>
      </c>
    </row>
    <row r="39" spans="1:10" ht="12.75">
      <c r="A39" s="19">
        <v>28</v>
      </c>
      <c r="B39" s="328" t="s">
        <v>897</v>
      </c>
      <c r="C39" s="20">
        <v>1964</v>
      </c>
      <c r="D39" s="20">
        <v>165027</v>
      </c>
      <c r="E39" s="20">
        <v>222</v>
      </c>
      <c r="F39" s="102">
        <f t="shared" si="0"/>
        <v>36635994</v>
      </c>
      <c r="G39" s="20">
        <f>'AT3A_cvrg(Insti)_PY'!H39+'AT3A_cvrg(Insti)_PY'!I39+'AT3A_cvrg(Insti)_PY'!K39</f>
        <v>1981</v>
      </c>
      <c r="H39" s="536">
        <v>36366605.16</v>
      </c>
      <c r="I39" s="29">
        <v>222</v>
      </c>
      <c r="J39" s="536">
        <f t="shared" si="1"/>
        <v>163813.53675675674</v>
      </c>
    </row>
    <row r="40" spans="1:10" ht="12.75">
      <c r="A40" s="19">
        <v>29</v>
      </c>
      <c r="B40" s="328" t="s">
        <v>898</v>
      </c>
      <c r="C40" s="20">
        <v>972</v>
      </c>
      <c r="D40" s="20">
        <v>40415</v>
      </c>
      <c r="E40" s="20">
        <v>222</v>
      </c>
      <c r="F40" s="102">
        <f t="shared" si="0"/>
        <v>8972130</v>
      </c>
      <c r="G40" s="20">
        <f>'AT3A_cvrg(Insti)_PY'!H40+'AT3A_cvrg(Insti)_PY'!I40+'AT3A_cvrg(Insti)_PY'!K40</f>
        <v>956</v>
      </c>
      <c r="H40" s="536">
        <v>8709492.24</v>
      </c>
      <c r="I40" s="29">
        <v>227</v>
      </c>
      <c r="J40" s="536">
        <f t="shared" si="1"/>
        <v>38367.8072246696</v>
      </c>
    </row>
    <row r="41" spans="1:10" ht="12.75">
      <c r="A41" s="19">
        <v>30</v>
      </c>
      <c r="B41" s="328" t="s">
        <v>899</v>
      </c>
      <c r="C41" s="20">
        <v>2407</v>
      </c>
      <c r="D41" s="20">
        <v>288313</v>
      </c>
      <c r="E41" s="20">
        <v>222</v>
      </c>
      <c r="F41" s="102">
        <f t="shared" si="0"/>
        <v>64005486</v>
      </c>
      <c r="G41" s="20">
        <f>'AT3A_cvrg(Insti)_PY'!H41+'AT3A_cvrg(Insti)_PY'!I41+'AT3A_cvrg(Insti)_PY'!K41</f>
        <v>2138</v>
      </c>
      <c r="H41" s="536">
        <v>63163641.22</v>
      </c>
      <c r="I41" s="29">
        <v>222</v>
      </c>
      <c r="J41" s="536">
        <f t="shared" si="1"/>
        <v>284520.9063963964</v>
      </c>
    </row>
    <row r="42" spans="1:10" ht="12.75">
      <c r="A42" s="19">
        <v>31</v>
      </c>
      <c r="B42" s="328" t="s">
        <v>900</v>
      </c>
      <c r="C42" s="20">
        <v>1277</v>
      </c>
      <c r="D42" s="20">
        <v>252035</v>
      </c>
      <c r="E42" s="20">
        <v>222</v>
      </c>
      <c r="F42" s="102">
        <f t="shared" si="0"/>
        <v>55951770</v>
      </c>
      <c r="G42" s="20">
        <f>'AT3A_cvrg(Insti)_PY'!H42+'AT3A_cvrg(Insti)_PY'!I42+'AT3A_cvrg(Insti)_PY'!K42</f>
        <v>1241</v>
      </c>
      <c r="H42" s="536">
        <v>55249707.84</v>
      </c>
      <c r="I42" s="29">
        <v>222</v>
      </c>
      <c r="J42" s="536">
        <v>253873</v>
      </c>
    </row>
    <row r="43" spans="1:10" ht="12.75">
      <c r="A43" s="19">
        <v>32</v>
      </c>
      <c r="B43" s="328" t="s">
        <v>901</v>
      </c>
      <c r="C43" s="20">
        <v>1679</v>
      </c>
      <c r="D43" s="20">
        <v>144421</v>
      </c>
      <c r="E43" s="20">
        <v>222</v>
      </c>
      <c r="F43" s="102">
        <f t="shared" si="0"/>
        <v>32061462</v>
      </c>
      <c r="G43" s="20">
        <f>'AT3A_cvrg(Insti)_PY'!H43+'AT3A_cvrg(Insti)_PY'!I43+'AT3A_cvrg(Insti)_PY'!K43</f>
        <v>1654</v>
      </c>
      <c r="H43" s="536">
        <v>31649925.990000002</v>
      </c>
      <c r="I43" s="29">
        <v>220</v>
      </c>
      <c r="J43" s="536">
        <f t="shared" si="1"/>
        <v>143863.29995454545</v>
      </c>
    </row>
    <row r="44" spans="1:10" ht="12.75">
      <c r="A44" s="19">
        <v>33</v>
      </c>
      <c r="B44" s="328" t="s">
        <v>902</v>
      </c>
      <c r="C44" s="20">
        <v>708</v>
      </c>
      <c r="D44" s="20">
        <v>47409</v>
      </c>
      <c r="E44" s="20">
        <v>222</v>
      </c>
      <c r="F44" s="102">
        <f t="shared" si="0"/>
        <v>10524798</v>
      </c>
      <c r="G44" s="20">
        <f>'AT3A_cvrg(Insti)_PY'!H44+'AT3A_cvrg(Insti)_PY'!I44+'AT3A_cvrg(Insti)_PY'!K44</f>
        <v>704</v>
      </c>
      <c r="H44" s="536">
        <v>10480829.91</v>
      </c>
      <c r="I44" s="29">
        <v>222</v>
      </c>
      <c r="J44" s="536">
        <f t="shared" si="1"/>
        <v>47210.94554054054</v>
      </c>
    </row>
    <row r="45" spans="1:10" ht="12.75">
      <c r="A45" s="19">
        <v>34</v>
      </c>
      <c r="B45" s="328" t="s">
        <v>903</v>
      </c>
      <c r="C45" s="20">
        <v>526</v>
      </c>
      <c r="D45" s="20">
        <v>67616</v>
      </c>
      <c r="E45" s="20">
        <v>222</v>
      </c>
      <c r="F45" s="102">
        <f t="shared" si="0"/>
        <v>15010752</v>
      </c>
      <c r="G45" s="20">
        <f>'AT3A_cvrg(Insti)_PY'!H45+'AT3A_cvrg(Insti)_PY'!I45+'AT3A_cvrg(Insti)_PY'!K45</f>
        <v>519</v>
      </c>
      <c r="H45" s="536">
        <v>14984776.72</v>
      </c>
      <c r="I45" s="29">
        <v>220</v>
      </c>
      <c r="J45" s="536">
        <f t="shared" si="1"/>
        <v>68112.62145454546</v>
      </c>
    </row>
    <row r="46" spans="1:10" ht="12.75">
      <c r="A46" s="19">
        <v>35</v>
      </c>
      <c r="B46" s="328" t="s">
        <v>904</v>
      </c>
      <c r="C46" s="20">
        <v>1398</v>
      </c>
      <c r="D46" s="20">
        <v>162090</v>
      </c>
      <c r="E46" s="20">
        <v>222</v>
      </c>
      <c r="F46" s="102">
        <f t="shared" si="0"/>
        <v>35983980</v>
      </c>
      <c r="G46" s="20">
        <f>'AT3A_cvrg(Insti)_PY'!H46+'AT3A_cvrg(Insti)_PY'!I46+'AT3A_cvrg(Insti)_PY'!K46</f>
        <v>1380</v>
      </c>
      <c r="H46" s="536">
        <v>35683684.43</v>
      </c>
      <c r="I46" s="29">
        <v>222</v>
      </c>
      <c r="J46" s="536">
        <f t="shared" si="1"/>
        <v>160737.31725225225</v>
      </c>
    </row>
    <row r="47" spans="1:10" ht="12.75">
      <c r="A47" s="3" t="s">
        <v>19</v>
      </c>
      <c r="B47" s="30"/>
      <c r="C47" s="30">
        <f>SUM(C12:C46)</f>
        <v>47360</v>
      </c>
      <c r="D47" s="20">
        <f>SUM(D12:D46)</f>
        <v>5751369</v>
      </c>
      <c r="E47" s="20">
        <v>222</v>
      </c>
      <c r="F47" s="102">
        <f t="shared" si="0"/>
        <v>1276803918</v>
      </c>
      <c r="G47" s="20">
        <f>'AT3A_cvrg(Insti)_PY'!H47+'AT3A_cvrg(Insti)_PY'!I47+'AT3A_cvrg(Insti)_PY'!K47</f>
        <v>46700</v>
      </c>
      <c r="H47" s="20">
        <f>SUM(H12:H46)</f>
        <v>1262984092.47</v>
      </c>
      <c r="I47" s="29">
        <v>222</v>
      </c>
      <c r="J47" s="536">
        <f>SUM(J12:J46)</f>
        <v>5699070.288331019</v>
      </c>
    </row>
    <row r="48" spans="1:10" ht="12.75">
      <c r="A48" s="12"/>
      <c r="B48" s="31"/>
      <c r="C48" s="31"/>
      <c r="D48" s="22"/>
      <c r="E48" s="22"/>
      <c r="F48" s="386"/>
      <c r="G48" s="22"/>
      <c r="H48" s="22"/>
      <c r="I48" s="22"/>
      <c r="J48" s="22"/>
    </row>
    <row r="49" spans="1:10" ht="12.75">
      <c r="A49" s="12"/>
      <c r="B49" s="31"/>
      <c r="C49" s="31"/>
      <c r="D49" s="22"/>
      <c r="E49" s="22"/>
      <c r="F49" s="22"/>
      <c r="G49" s="22"/>
      <c r="H49" s="22"/>
      <c r="I49" s="22"/>
      <c r="J49" s="22"/>
    </row>
    <row r="50" spans="1:10" ht="12.75">
      <c r="A50" s="12"/>
      <c r="B50" s="31"/>
      <c r="C50" s="31"/>
      <c r="D50" s="22"/>
      <c r="E50" s="22"/>
      <c r="F50" s="22"/>
      <c r="G50" s="22"/>
      <c r="H50" s="22"/>
      <c r="I50" s="22"/>
      <c r="J50" s="22"/>
    </row>
    <row r="51" spans="1:10" ht="15.75" customHeight="1">
      <c r="A51" s="15" t="s">
        <v>12</v>
      </c>
      <c r="B51" s="15"/>
      <c r="C51" s="748" t="s">
        <v>1021</v>
      </c>
      <c r="D51" s="748"/>
      <c r="E51" s="748"/>
      <c r="F51" s="748"/>
      <c r="H51" s="748" t="s">
        <v>1024</v>
      </c>
      <c r="I51" s="748"/>
      <c r="J51" s="748"/>
    </row>
    <row r="52" spans="1:10" ht="12.75" customHeight="1">
      <c r="A52" s="83"/>
      <c r="B52" s="83"/>
      <c r="C52" s="748" t="s">
        <v>1022</v>
      </c>
      <c r="D52" s="748"/>
      <c r="E52" s="748"/>
      <c r="F52" s="748"/>
      <c r="H52" s="748" t="s">
        <v>1025</v>
      </c>
      <c r="I52" s="748"/>
      <c r="J52" s="748"/>
    </row>
    <row r="53" spans="1:10" ht="12.75" customHeight="1">
      <c r="A53" s="83"/>
      <c r="B53" s="83"/>
      <c r="C53" s="735" t="s">
        <v>1023</v>
      </c>
      <c r="D53" s="735"/>
      <c r="E53" s="735"/>
      <c r="F53" s="735"/>
      <c r="H53" s="735" t="s">
        <v>1023</v>
      </c>
      <c r="I53" s="735"/>
      <c r="J53" s="735"/>
    </row>
    <row r="54" spans="1:10" ht="12.75">
      <c r="A54" s="15"/>
      <c r="B54" s="15"/>
      <c r="C54" s="15"/>
      <c r="E54" s="15"/>
      <c r="H54" s="36"/>
      <c r="I54" s="36"/>
      <c r="J54" s="36"/>
    </row>
    <row r="57" ht="12.75">
      <c r="F57" s="16">
        <f>F51/70</f>
        <v>0</v>
      </c>
    </row>
    <row r="58" spans="1:10" ht="12.75">
      <c r="A58" s="839"/>
      <c r="B58" s="839"/>
      <c r="C58" s="839"/>
      <c r="D58" s="839"/>
      <c r="E58" s="839"/>
      <c r="F58" s="839"/>
      <c r="G58" s="839"/>
      <c r="H58" s="839"/>
      <c r="I58" s="839"/>
      <c r="J58" s="839"/>
    </row>
    <row r="60" spans="1:10" ht="12.75">
      <c r="A60" s="839"/>
      <c r="B60" s="839"/>
      <c r="C60" s="839"/>
      <c r="D60" s="839"/>
      <c r="E60" s="839"/>
      <c r="F60" s="839"/>
      <c r="G60" s="839"/>
      <c r="H60" s="839"/>
      <c r="I60" s="839"/>
      <c r="J60" s="839"/>
    </row>
  </sheetData>
  <sheetProtection/>
  <mergeCells count="18">
    <mergeCell ref="A8:C8"/>
    <mergeCell ref="E1:I1"/>
    <mergeCell ref="A2:J2"/>
    <mergeCell ref="A3:J3"/>
    <mergeCell ref="G9:J9"/>
    <mergeCell ref="C9:F9"/>
    <mergeCell ref="H8:J8"/>
    <mergeCell ref="A5:J5"/>
    <mergeCell ref="A9:A10"/>
    <mergeCell ref="B9:B10"/>
    <mergeCell ref="H51:J51"/>
    <mergeCell ref="C52:F52"/>
    <mergeCell ref="H52:J52"/>
    <mergeCell ref="C53:F53"/>
    <mergeCell ref="H53:J53"/>
    <mergeCell ref="A60:J60"/>
    <mergeCell ref="A58:J58"/>
    <mergeCell ref="C51:F51"/>
  </mergeCells>
  <printOptions horizontalCentered="1"/>
  <pageMargins left="0.7086614173228347" right="0.7086614173228347" top="0.2362204724409449" bottom="0" header="0.21" footer="0.31496062992125984"/>
  <pageSetup fitToHeight="1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BreakPreview" zoomScale="90" zoomScaleSheetLayoutView="90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1" sqref="C51:J53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4.140625" style="16" customWidth="1"/>
    <col min="6" max="6" width="14.28125" style="16" customWidth="1"/>
    <col min="7" max="7" width="13.28125" style="16" customWidth="1"/>
    <col min="8" max="8" width="17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735"/>
      <c r="F1" s="735"/>
      <c r="G1" s="735"/>
      <c r="H1" s="735"/>
      <c r="I1" s="735"/>
      <c r="J1" s="134" t="s">
        <v>373</v>
      </c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</row>
    <row r="4" ht="14.25" customHeight="1"/>
    <row r="5" spans="1:10" ht="15.75">
      <c r="A5" s="840" t="s">
        <v>700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6" t="s">
        <v>1005</v>
      </c>
      <c r="B8" s="36"/>
      <c r="C8" s="15"/>
      <c r="H8" s="804" t="s">
        <v>821</v>
      </c>
      <c r="I8" s="804"/>
      <c r="J8" s="804"/>
    </row>
    <row r="9" spans="1:10" ht="12.75">
      <c r="A9" s="709" t="s">
        <v>2</v>
      </c>
      <c r="B9" s="709" t="s">
        <v>3</v>
      </c>
      <c r="C9" s="694" t="s">
        <v>669</v>
      </c>
      <c r="D9" s="705"/>
      <c r="E9" s="705"/>
      <c r="F9" s="695"/>
      <c r="G9" s="694" t="s">
        <v>103</v>
      </c>
      <c r="H9" s="705"/>
      <c r="I9" s="705"/>
      <c r="J9" s="695"/>
    </row>
    <row r="10" spans="1:10" ht="51">
      <c r="A10" s="709"/>
      <c r="B10" s="709"/>
      <c r="C10" s="5" t="s">
        <v>186</v>
      </c>
      <c r="D10" s="5" t="s">
        <v>17</v>
      </c>
      <c r="E10" s="252" t="s">
        <v>838</v>
      </c>
      <c r="F10" s="7" t="s">
        <v>204</v>
      </c>
      <c r="G10" s="5" t="s">
        <v>186</v>
      </c>
      <c r="H10" s="26" t="s">
        <v>18</v>
      </c>
      <c r="I10" s="103" t="s">
        <v>113</v>
      </c>
      <c r="J10" s="5" t="s">
        <v>205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9">
        <v>1</v>
      </c>
      <c r="B12" s="328" t="s">
        <v>870</v>
      </c>
      <c r="C12" s="20">
        <v>1380</v>
      </c>
      <c r="D12" s="20">
        <v>166642</v>
      </c>
      <c r="E12" s="20">
        <v>222</v>
      </c>
      <c r="F12" s="102">
        <f>D12*E12</f>
        <v>36994524</v>
      </c>
      <c r="G12" s="20">
        <f>'AT3B_cvrg(Insti)_UPY '!H11+'AT3B_cvrg(Insti)_UPY '!I11+'AT3B_cvrg(Insti)_UPY '!K11+'AT3C_cvrg(Insti)_UPY '!H11+'AT3C_cvrg(Insti)_UPY '!I11+'AT3C_cvrg(Insti)_UPY '!K11</f>
        <v>1405</v>
      </c>
      <c r="H12" s="536">
        <v>37477148</v>
      </c>
      <c r="I12" s="29">
        <v>222</v>
      </c>
      <c r="J12" s="536">
        <f>H12/222</f>
        <v>168815.98198198198</v>
      </c>
    </row>
    <row r="13" spans="1:10" ht="12.75">
      <c r="A13" s="19">
        <v>2</v>
      </c>
      <c r="B13" s="328" t="s">
        <v>871</v>
      </c>
      <c r="C13" s="20">
        <v>781</v>
      </c>
      <c r="D13" s="20">
        <v>55675</v>
      </c>
      <c r="E13" s="20">
        <v>222</v>
      </c>
      <c r="F13" s="102">
        <f aca="true" t="shared" si="0" ref="F13:F47">D13*E13</f>
        <v>12359850</v>
      </c>
      <c r="G13" s="20">
        <f>'AT3B_cvrg(Insti)_UPY '!H12+'AT3B_cvrg(Insti)_UPY '!I12+'AT3B_cvrg(Insti)_UPY '!K12+'AT3C_cvrg(Insti)_UPY '!H12+'AT3C_cvrg(Insti)_UPY '!I12+'AT3C_cvrg(Insti)_UPY '!K12</f>
        <v>793</v>
      </c>
      <c r="H13" s="536">
        <v>12183629.89</v>
      </c>
      <c r="I13" s="29">
        <v>222</v>
      </c>
      <c r="J13" s="536">
        <f aca="true" t="shared" si="1" ref="J13:J46">H13/222</f>
        <v>54881.21572072072</v>
      </c>
    </row>
    <row r="14" spans="1:10" ht="12.75">
      <c r="A14" s="19">
        <v>3</v>
      </c>
      <c r="B14" s="328" t="s">
        <v>872</v>
      </c>
      <c r="C14" s="20">
        <v>1347</v>
      </c>
      <c r="D14" s="20">
        <v>102817</v>
      </c>
      <c r="E14" s="20">
        <v>222</v>
      </c>
      <c r="F14" s="102">
        <f t="shared" si="0"/>
        <v>22825374</v>
      </c>
      <c r="G14" s="20">
        <f>'AT3B_cvrg(Insti)_UPY '!H13+'AT3B_cvrg(Insti)_UPY '!I13+'AT3B_cvrg(Insti)_UPY '!K13+'AT3C_cvrg(Insti)_UPY '!H13+'AT3C_cvrg(Insti)_UPY '!I13+'AT3C_cvrg(Insti)_UPY '!K13</f>
        <v>1359</v>
      </c>
      <c r="H14" s="536">
        <v>22682660.22</v>
      </c>
      <c r="I14" s="29">
        <v>222</v>
      </c>
      <c r="J14" s="536">
        <f t="shared" si="1"/>
        <v>102174.14513513513</v>
      </c>
    </row>
    <row r="15" spans="1:10" ht="12.75">
      <c r="A15" s="19">
        <v>4</v>
      </c>
      <c r="B15" s="328" t="s">
        <v>873</v>
      </c>
      <c r="C15" s="20">
        <v>1474</v>
      </c>
      <c r="D15" s="20">
        <v>157424</v>
      </c>
      <c r="E15" s="20">
        <v>222</v>
      </c>
      <c r="F15" s="102">
        <f t="shared" si="0"/>
        <v>34948128</v>
      </c>
      <c r="G15" s="20">
        <f>'AT3B_cvrg(Insti)_UPY '!H14+'AT3B_cvrg(Insti)_UPY '!I14+'AT3B_cvrg(Insti)_UPY '!K14+'AT3C_cvrg(Insti)_UPY '!H14+'AT3C_cvrg(Insti)_UPY '!I14+'AT3C_cvrg(Insti)_UPY '!K14</f>
        <v>1517</v>
      </c>
      <c r="H15" s="536">
        <v>34679827.33</v>
      </c>
      <c r="I15" s="29">
        <v>222</v>
      </c>
      <c r="J15" s="536">
        <f t="shared" si="1"/>
        <v>156215.43842342342</v>
      </c>
    </row>
    <row r="16" spans="1:10" ht="12.75">
      <c r="A16" s="19">
        <v>5</v>
      </c>
      <c r="B16" s="328" t="s">
        <v>874</v>
      </c>
      <c r="C16" s="20">
        <v>1249</v>
      </c>
      <c r="D16" s="20">
        <v>112937</v>
      </c>
      <c r="E16" s="20">
        <v>222</v>
      </c>
      <c r="F16" s="102">
        <f t="shared" si="0"/>
        <v>25072014</v>
      </c>
      <c r="G16" s="20">
        <f>'AT3B_cvrg(Insti)_UPY '!H15+'AT3B_cvrg(Insti)_UPY '!I15+'AT3B_cvrg(Insti)_UPY '!K15+'AT3C_cvrg(Insti)_UPY '!H15+'AT3C_cvrg(Insti)_UPY '!I15+'AT3C_cvrg(Insti)_UPY '!K15</f>
        <v>1268</v>
      </c>
      <c r="H16" s="536">
        <v>25416626</v>
      </c>
      <c r="I16" s="29">
        <v>222</v>
      </c>
      <c r="J16" s="536">
        <f t="shared" si="1"/>
        <v>114489.3063063063</v>
      </c>
    </row>
    <row r="17" spans="1:10" ht="12.75">
      <c r="A17" s="19">
        <v>6</v>
      </c>
      <c r="B17" s="328" t="s">
        <v>875</v>
      </c>
      <c r="C17" s="20">
        <v>536</v>
      </c>
      <c r="D17" s="20">
        <v>43632</v>
      </c>
      <c r="E17" s="20">
        <v>222</v>
      </c>
      <c r="F17" s="102">
        <f t="shared" si="0"/>
        <v>9686304</v>
      </c>
      <c r="G17" s="20">
        <f>'AT3B_cvrg(Insti)_UPY '!H16+'AT3B_cvrg(Insti)_UPY '!I16+'AT3B_cvrg(Insti)_UPY '!K16+'AT3C_cvrg(Insti)_UPY '!H16+'AT3C_cvrg(Insti)_UPY '!I16+'AT3C_cvrg(Insti)_UPY '!K16</f>
        <v>539</v>
      </c>
      <c r="H17" s="536">
        <v>9752845</v>
      </c>
      <c r="I17" s="29">
        <v>222</v>
      </c>
      <c r="J17" s="536">
        <f t="shared" si="1"/>
        <v>43931.73423423423</v>
      </c>
    </row>
    <row r="18" spans="1:10" ht="12.75">
      <c r="A18" s="19">
        <v>7</v>
      </c>
      <c r="B18" s="328" t="s">
        <v>876</v>
      </c>
      <c r="C18" s="20">
        <v>1021</v>
      </c>
      <c r="D18" s="20">
        <v>100469</v>
      </c>
      <c r="E18" s="20">
        <v>222</v>
      </c>
      <c r="F18" s="102">
        <f t="shared" si="0"/>
        <v>22304118</v>
      </c>
      <c r="G18" s="20">
        <f>'AT3B_cvrg(Insti)_UPY '!H17+'AT3B_cvrg(Insti)_UPY '!I17+'AT3B_cvrg(Insti)_UPY '!K17+'AT3C_cvrg(Insti)_UPY '!H17+'AT3C_cvrg(Insti)_UPY '!I17+'AT3C_cvrg(Insti)_UPY '!K17</f>
        <v>1030</v>
      </c>
      <c r="H18" s="536">
        <v>22192850.8</v>
      </c>
      <c r="I18" s="29">
        <v>222</v>
      </c>
      <c r="J18" s="536">
        <f t="shared" si="1"/>
        <v>99967.7963963964</v>
      </c>
    </row>
    <row r="19" spans="1:10" ht="12.75">
      <c r="A19" s="19">
        <v>8</v>
      </c>
      <c r="B19" s="328" t="s">
        <v>877</v>
      </c>
      <c r="C19" s="20">
        <v>944</v>
      </c>
      <c r="D19" s="20">
        <v>61858</v>
      </c>
      <c r="E19" s="20">
        <v>222</v>
      </c>
      <c r="F19" s="102">
        <f t="shared" si="0"/>
        <v>13732476</v>
      </c>
      <c r="G19" s="20">
        <f>'AT3B_cvrg(Insti)_UPY '!H18+'AT3B_cvrg(Insti)_UPY '!I18+'AT3B_cvrg(Insti)_UPY '!K18+'AT3C_cvrg(Insti)_UPY '!H18+'AT3C_cvrg(Insti)_UPY '!I18+'AT3C_cvrg(Insti)_UPY '!K18</f>
        <v>957</v>
      </c>
      <c r="H19" s="536">
        <v>13689218.28</v>
      </c>
      <c r="I19" s="29">
        <v>222</v>
      </c>
      <c r="J19" s="536">
        <f t="shared" si="1"/>
        <v>61663.145405405405</v>
      </c>
    </row>
    <row r="20" spans="1:10" ht="12.75">
      <c r="A20" s="19">
        <v>9</v>
      </c>
      <c r="B20" s="328" t="s">
        <v>878</v>
      </c>
      <c r="C20" s="20">
        <v>497</v>
      </c>
      <c r="D20" s="20">
        <v>76543</v>
      </c>
      <c r="E20" s="20">
        <v>222</v>
      </c>
      <c r="F20" s="102">
        <f t="shared" si="0"/>
        <v>16992546</v>
      </c>
      <c r="G20" s="20">
        <f>'AT3B_cvrg(Insti)_UPY '!H19+'AT3B_cvrg(Insti)_UPY '!I19+'AT3B_cvrg(Insti)_UPY '!K19+'AT3C_cvrg(Insti)_UPY '!H19+'AT3C_cvrg(Insti)_UPY '!I19+'AT3C_cvrg(Insti)_UPY '!K19</f>
        <v>505</v>
      </c>
      <c r="H20" s="536">
        <v>17923186</v>
      </c>
      <c r="I20" s="29">
        <v>220</v>
      </c>
      <c r="J20" s="536">
        <f>H20/220</f>
        <v>81469.02727272727</v>
      </c>
    </row>
    <row r="21" spans="1:10" ht="12.75">
      <c r="A21" s="19">
        <v>10</v>
      </c>
      <c r="B21" s="328" t="s">
        <v>879</v>
      </c>
      <c r="C21" s="20">
        <v>652</v>
      </c>
      <c r="D21" s="20">
        <v>31695</v>
      </c>
      <c r="E21" s="20">
        <v>222</v>
      </c>
      <c r="F21" s="102">
        <f t="shared" si="0"/>
        <v>7036290</v>
      </c>
      <c r="G21" s="20">
        <f>'AT3B_cvrg(Insti)_UPY '!H20+'AT3B_cvrg(Insti)_UPY '!I20+'AT3B_cvrg(Insti)_UPY '!K20+'AT3C_cvrg(Insti)_UPY '!H20+'AT3C_cvrg(Insti)_UPY '!I20+'AT3C_cvrg(Insti)_UPY '!K20</f>
        <v>672</v>
      </c>
      <c r="H21" s="536">
        <v>7011224.85</v>
      </c>
      <c r="I21" s="29">
        <v>222</v>
      </c>
      <c r="J21" s="536">
        <f t="shared" si="1"/>
        <v>31582.093918918916</v>
      </c>
    </row>
    <row r="22" spans="1:10" ht="12.75">
      <c r="A22" s="19">
        <v>11</v>
      </c>
      <c r="B22" s="328" t="s">
        <v>880</v>
      </c>
      <c r="C22" s="20">
        <v>684</v>
      </c>
      <c r="D22" s="20">
        <v>44668</v>
      </c>
      <c r="E22" s="20">
        <v>222</v>
      </c>
      <c r="F22" s="102">
        <f t="shared" si="0"/>
        <v>9916296</v>
      </c>
      <c r="G22" s="20">
        <f>'AT3B_cvrg(Insti)_UPY '!H21+'AT3B_cvrg(Insti)_UPY '!I21+'AT3B_cvrg(Insti)_UPY '!K21+'AT3C_cvrg(Insti)_UPY '!H21+'AT3C_cvrg(Insti)_UPY '!I21+'AT3C_cvrg(Insti)_UPY '!K21</f>
        <v>701</v>
      </c>
      <c r="H22" s="536">
        <v>9897308.13</v>
      </c>
      <c r="I22" s="29">
        <v>220</v>
      </c>
      <c r="J22" s="536">
        <f>H22/220</f>
        <v>44987.76422727273</v>
      </c>
    </row>
    <row r="23" spans="1:10" ht="12.75">
      <c r="A23" s="19">
        <v>12</v>
      </c>
      <c r="B23" s="328" t="s">
        <v>881</v>
      </c>
      <c r="C23" s="20">
        <v>506</v>
      </c>
      <c r="D23" s="20">
        <v>38396</v>
      </c>
      <c r="E23" s="20">
        <v>222</v>
      </c>
      <c r="F23" s="102">
        <f t="shared" si="0"/>
        <v>8523912</v>
      </c>
      <c r="G23" s="20">
        <f>'AT3B_cvrg(Insti)_UPY '!H22+'AT3B_cvrg(Insti)_UPY '!I22+'AT3B_cvrg(Insti)_UPY '!K22+'AT3C_cvrg(Insti)_UPY '!H22+'AT3C_cvrg(Insti)_UPY '!I22+'AT3C_cvrg(Insti)_UPY '!K22</f>
        <v>506</v>
      </c>
      <c r="H23" s="536">
        <v>8709605</v>
      </c>
      <c r="I23" s="29">
        <v>221</v>
      </c>
      <c r="J23" s="536">
        <f>H23/221</f>
        <v>39409.97737556561</v>
      </c>
    </row>
    <row r="24" spans="1:10" ht="12.75">
      <c r="A24" s="19">
        <v>13</v>
      </c>
      <c r="B24" s="328" t="s">
        <v>882</v>
      </c>
      <c r="C24" s="20">
        <v>1203</v>
      </c>
      <c r="D24" s="20">
        <v>142312</v>
      </c>
      <c r="E24" s="20">
        <v>222</v>
      </c>
      <c r="F24" s="102">
        <f t="shared" si="0"/>
        <v>31593264</v>
      </c>
      <c r="G24" s="20">
        <f>'AT3B_cvrg(Insti)_UPY '!H23+'AT3B_cvrg(Insti)_UPY '!I23+'AT3B_cvrg(Insti)_UPY '!K23+'AT3C_cvrg(Insti)_UPY '!H23+'AT3C_cvrg(Insti)_UPY '!I23+'AT3C_cvrg(Insti)_UPY '!K23</f>
        <v>1208</v>
      </c>
      <c r="H24" s="536">
        <v>31476698.1</v>
      </c>
      <c r="I24" s="29">
        <v>222</v>
      </c>
      <c r="J24" s="536">
        <f t="shared" si="1"/>
        <v>141786.9283783784</v>
      </c>
    </row>
    <row r="25" spans="1:10" ht="12.75">
      <c r="A25" s="19">
        <v>14</v>
      </c>
      <c r="B25" s="328" t="s">
        <v>883</v>
      </c>
      <c r="C25" s="20">
        <v>870</v>
      </c>
      <c r="D25" s="20">
        <v>78445</v>
      </c>
      <c r="E25" s="20">
        <v>222</v>
      </c>
      <c r="F25" s="102">
        <f t="shared" si="0"/>
        <v>17414790</v>
      </c>
      <c r="G25" s="20">
        <f>'AT3B_cvrg(Insti)_UPY '!H24+'AT3B_cvrg(Insti)_UPY '!I24+'AT3B_cvrg(Insti)_UPY '!K24+'AT3C_cvrg(Insti)_UPY '!H24+'AT3C_cvrg(Insti)_UPY '!I24+'AT3C_cvrg(Insti)_UPY '!K24</f>
        <v>889</v>
      </c>
      <c r="H25" s="536">
        <v>17168936.7</v>
      </c>
      <c r="I25" s="29">
        <v>219</v>
      </c>
      <c r="J25" s="536">
        <f>H25/219</f>
        <v>78396.9712328767</v>
      </c>
    </row>
    <row r="26" spans="1:10" ht="12.75">
      <c r="A26" s="19">
        <v>15</v>
      </c>
      <c r="B26" s="328" t="s">
        <v>884</v>
      </c>
      <c r="C26" s="20">
        <v>1816</v>
      </c>
      <c r="D26" s="20">
        <v>142073</v>
      </c>
      <c r="E26" s="20">
        <v>222</v>
      </c>
      <c r="F26" s="102">
        <f t="shared" si="0"/>
        <v>31540206</v>
      </c>
      <c r="G26" s="20">
        <f>'AT3B_cvrg(Insti)_UPY '!H25+'AT3B_cvrg(Insti)_UPY '!I25+'AT3B_cvrg(Insti)_UPY '!K25+'AT3C_cvrg(Insti)_UPY '!H25+'AT3C_cvrg(Insti)_UPY '!I25+'AT3C_cvrg(Insti)_UPY '!K25</f>
        <v>1838</v>
      </c>
      <c r="H26" s="536">
        <v>31301354.2</v>
      </c>
      <c r="I26" s="29">
        <v>222</v>
      </c>
      <c r="J26" s="536">
        <f t="shared" si="1"/>
        <v>140997.09099099098</v>
      </c>
    </row>
    <row r="27" spans="1:10" ht="12.75">
      <c r="A27" s="19">
        <v>16</v>
      </c>
      <c r="B27" s="328" t="s">
        <v>885</v>
      </c>
      <c r="C27" s="20">
        <v>1281</v>
      </c>
      <c r="D27" s="20">
        <v>98463</v>
      </c>
      <c r="E27" s="20">
        <v>222</v>
      </c>
      <c r="F27" s="102">
        <f t="shared" si="0"/>
        <v>21858786</v>
      </c>
      <c r="G27" s="20">
        <f>'AT3B_cvrg(Insti)_UPY '!H26+'AT3B_cvrg(Insti)_UPY '!I26+'AT3B_cvrg(Insti)_UPY '!K26+'AT3C_cvrg(Insti)_UPY '!H26+'AT3C_cvrg(Insti)_UPY '!I26+'AT3C_cvrg(Insti)_UPY '!K26</f>
        <v>1280</v>
      </c>
      <c r="H27" s="536">
        <v>21783221.94</v>
      </c>
      <c r="I27" s="29">
        <v>222</v>
      </c>
      <c r="J27" s="536">
        <f t="shared" si="1"/>
        <v>98122.62135135135</v>
      </c>
    </row>
    <row r="28" spans="1:10" ht="12.75">
      <c r="A28" s="19">
        <v>17</v>
      </c>
      <c r="B28" s="328" t="s">
        <v>886</v>
      </c>
      <c r="C28" s="20">
        <v>1657</v>
      </c>
      <c r="D28" s="20">
        <v>274288</v>
      </c>
      <c r="E28" s="20">
        <v>222</v>
      </c>
      <c r="F28" s="102">
        <f t="shared" si="0"/>
        <v>60891936</v>
      </c>
      <c r="G28" s="20">
        <f>'AT3B_cvrg(Insti)_UPY '!H27+'AT3B_cvrg(Insti)_UPY '!I27+'AT3B_cvrg(Insti)_UPY '!K27+'AT3C_cvrg(Insti)_UPY '!H27+'AT3C_cvrg(Insti)_UPY '!I27+'AT3C_cvrg(Insti)_UPY '!K27</f>
        <v>1641</v>
      </c>
      <c r="H28" s="536">
        <v>59388829.78</v>
      </c>
      <c r="I28" s="29">
        <v>225</v>
      </c>
      <c r="J28" s="536">
        <f>H28/225</f>
        <v>263950.3545777778</v>
      </c>
    </row>
    <row r="29" spans="1:10" ht="12.75">
      <c r="A29" s="19">
        <v>18</v>
      </c>
      <c r="B29" s="328" t="s">
        <v>887</v>
      </c>
      <c r="C29" s="20">
        <v>1443</v>
      </c>
      <c r="D29" s="20">
        <v>134827</v>
      </c>
      <c r="E29" s="20">
        <v>222</v>
      </c>
      <c r="F29" s="102">
        <f t="shared" si="0"/>
        <v>29931594</v>
      </c>
      <c r="G29" s="20">
        <f>'AT3B_cvrg(Insti)_UPY '!H28+'AT3B_cvrg(Insti)_UPY '!I28+'AT3B_cvrg(Insti)_UPY '!K28+'AT3C_cvrg(Insti)_UPY '!H28+'AT3C_cvrg(Insti)_UPY '!I28+'AT3C_cvrg(Insti)_UPY '!K28</f>
        <v>1444</v>
      </c>
      <c r="H29" s="536">
        <v>30498859</v>
      </c>
      <c r="I29" s="29">
        <v>222</v>
      </c>
      <c r="J29" s="536">
        <f t="shared" si="1"/>
        <v>137382.24774774775</v>
      </c>
    </row>
    <row r="30" spans="1:10" ht="12.75">
      <c r="A30" s="19">
        <v>19</v>
      </c>
      <c r="B30" s="328" t="s">
        <v>888</v>
      </c>
      <c r="C30" s="20">
        <v>1388</v>
      </c>
      <c r="D30" s="20">
        <v>120685</v>
      </c>
      <c r="E30" s="20">
        <v>222</v>
      </c>
      <c r="F30" s="102">
        <f t="shared" si="0"/>
        <v>26792070</v>
      </c>
      <c r="G30" s="20">
        <f>'AT3B_cvrg(Insti)_UPY '!H29+'AT3B_cvrg(Insti)_UPY '!I29+'AT3B_cvrg(Insti)_UPY '!K29+'AT3C_cvrg(Insti)_UPY '!H29+'AT3C_cvrg(Insti)_UPY '!I29+'AT3C_cvrg(Insti)_UPY '!K29</f>
        <v>1405</v>
      </c>
      <c r="H30" s="536">
        <v>26423563.18</v>
      </c>
      <c r="I30" s="29">
        <v>222</v>
      </c>
      <c r="J30" s="536">
        <f t="shared" si="1"/>
        <v>119025.05936936937</v>
      </c>
    </row>
    <row r="31" spans="1:10" ht="12.75">
      <c r="A31" s="19">
        <v>20</v>
      </c>
      <c r="B31" s="328" t="s">
        <v>889</v>
      </c>
      <c r="C31" s="20">
        <v>422</v>
      </c>
      <c r="D31" s="20">
        <v>50239</v>
      </c>
      <c r="E31" s="20">
        <v>222</v>
      </c>
      <c r="F31" s="102">
        <f t="shared" si="0"/>
        <v>11153058</v>
      </c>
      <c r="G31" s="20">
        <f>'AT3B_cvrg(Insti)_UPY '!H30+'AT3B_cvrg(Insti)_UPY '!I30+'AT3B_cvrg(Insti)_UPY '!K30+'AT3C_cvrg(Insti)_UPY '!H30+'AT3C_cvrg(Insti)_UPY '!I30+'AT3C_cvrg(Insti)_UPY '!K30</f>
        <v>430</v>
      </c>
      <c r="H31" s="536">
        <v>11152105.4</v>
      </c>
      <c r="I31" s="29">
        <v>222</v>
      </c>
      <c r="J31" s="536">
        <f t="shared" si="1"/>
        <v>50234.70900900901</v>
      </c>
    </row>
    <row r="32" spans="1:10" ht="12.75">
      <c r="A32" s="19">
        <v>21</v>
      </c>
      <c r="B32" s="328" t="s">
        <v>890</v>
      </c>
      <c r="C32" s="20">
        <v>1612</v>
      </c>
      <c r="D32" s="20">
        <v>210722</v>
      </c>
      <c r="E32" s="20">
        <v>222</v>
      </c>
      <c r="F32" s="102">
        <f t="shared" si="0"/>
        <v>46780284</v>
      </c>
      <c r="G32" s="20">
        <f>'AT3B_cvrg(Insti)_UPY '!H31+'AT3B_cvrg(Insti)_UPY '!I31+'AT3B_cvrg(Insti)_UPY '!K31+'AT3C_cvrg(Insti)_UPY '!H31+'AT3C_cvrg(Insti)_UPY '!I31+'AT3C_cvrg(Insti)_UPY '!K31</f>
        <v>1658</v>
      </c>
      <c r="H32" s="536">
        <v>46462565.28</v>
      </c>
      <c r="I32" s="29">
        <v>222</v>
      </c>
      <c r="J32" s="536">
        <f t="shared" si="1"/>
        <v>209290.8345945946</v>
      </c>
    </row>
    <row r="33" spans="1:10" ht="12.75">
      <c r="A33" s="19">
        <v>22</v>
      </c>
      <c r="B33" s="328" t="s">
        <v>891</v>
      </c>
      <c r="C33" s="20">
        <v>922</v>
      </c>
      <c r="D33" s="20">
        <v>64545</v>
      </c>
      <c r="E33" s="20">
        <v>222</v>
      </c>
      <c r="F33" s="102">
        <f t="shared" si="0"/>
        <v>14328990</v>
      </c>
      <c r="G33" s="20">
        <f>'AT3B_cvrg(Insti)_UPY '!H32+'AT3B_cvrg(Insti)_UPY '!I32+'AT3B_cvrg(Insti)_UPY '!K32+'AT3C_cvrg(Insti)_UPY '!H32+'AT3C_cvrg(Insti)_UPY '!I32+'AT3C_cvrg(Insti)_UPY '!K32</f>
        <v>931</v>
      </c>
      <c r="H33" s="536">
        <v>14240600.16</v>
      </c>
      <c r="I33" s="29">
        <v>220</v>
      </c>
      <c r="J33" s="536">
        <f>H33/220</f>
        <v>64730.00072727273</v>
      </c>
    </row>
    <row r="34" spans="1:10" ht="12.75">
      <c r="A34" s="19">
        <v>23</v>
      </c>
      <c r="B34" s="328" t="s">
        <v>892</v>
      </c>
      <c r="C34" s="20">
        <v>911</v>
      </c>
      <c r="D34" s="20">
        <v>79166</v>
      </c>
      <c r="E34" s="20">
        <v>222</v>
      </c>
      <c r="F34" s="102">
        <f t="shared" si="0"/>
        <v>17574852</v>
      </c>
      <c r="G34" s="20">
        <f>'AT3B_cvrg(Insti)_UPY '!H33+'AT3B_cvrg(Insti)_UPY '!I33+'AT3B_cvrg(Insti)_UPY '!K33+'AT3C_cvrg(Insti)_UPY '!H33+'AT3C_cvrg(Insti)_UPY '!I33+'AT3C_cvrg(Insti)_UPY '!K33</f>
        <v>911</v>
      </c>
      <c r="H34" s="536">
        <v>17326214.38</v>
      </c>
      <c r="I34" s="29">
        <v>220</v>
      </c>
      <c r="J34" s="536">
        <f>H34/220</f>
        <v>78755.5199090909</v>
      </c>
    </row>
    <row r="35" spans="1:10" ht="12.75">
      <c r="A35" s="19">
        <v>24</v>
      </c>
      <c r="B35" s="328" t="s">
        <v>893</v>
      </c>
      <c r="C35" s="20">
        <v>2326</v>
      </c>
      <c r="D35" s="20">
        <v>294328</v>
      </c>
      <c r="E35" s="20">
        <v>222</v>
      </c>
      <c r="F35" s="102">
        <f t="shared" si="0"/>
        <v>65340816</v>
      </c>
      <c r="G35" s="20">
        <f>'AT3B_cvrg(Insti)_UPY '!H34+'AT3B_cvrg(Insti)_UPY '!I34+'AT3B_cvrg(Insti)_UPY '!K34+'AT3C_cvrg(Insti)_UPY '!H34+'AT3C_cvrg(Insti)_UPY '!I34+'AT3C_cvrg(Insti)_UPY '!K34</f>
        <v>2314</v>
      </c>
      <c r="H35" s="536">
        <v>64642046.94</v>
      </c>
      <c r="I35" s="29">
        <v>220</v>
      </c>
      <c r="J35" s="536">
        <f>H35/220</f>
        <v>293827.4860909091</v>
      </c>
    </row>
    <row r="36" spans="1:10" ht="12.75">
      <c r="A36" s="19">
        <v>25</v>
      </c>
      <c r="B36" s="328" t="s">
        <v>894</v>
      </c>
      <c r="C36" s="20">
        <v>1087</v>
      </c>
      <c r="D36" s="20">
        <v>65404</v>
      </c>
      <c r="E36" s="20">
        <v>222</v>
      </c>
      <c r="F36" s="102">
        <f t="shared" si="0"/>
        <v>14519688</v>
      </c>
      <c r="G36" s="20">
        <f>'AT3B_cvrg(Insti)_UPY '!H35+'AT3B_cvrg(Insti)_UPY '!I35+'AT3B_cvrg(Insti)_UPY '!K35+'AT3C_cvrg(Insti)_UPY '!H35+'AT3C_cvrg(Insti)_UPY '!I35+'AT3C_cvrg(Insti)_UPY '!K35</f>
        <v>1087</v>
      </c>
      <c r="H36" s="536">
        <v>14595907</v>
      </c>
      <c r="I36" s="29">
        <v>222</v>
      </c>
      <c r="J36" s="536">
        <f t="shared" si="1"/>
        <v>65747.32882882883</v>
      </c>
    </row>
    <row r="37" spans="1:10" ht="12.75">
      <c r="A37" s="19">
        <v>26</v>
      </c>
      <c r="B37" s="328" t="s">
        <v>895</v>
      </c>
      <c r="C37" s="20">
        <v>1336</v>
      </c>
      <c r="D37" s="20">
        <v>62214</v>
      </c>
      <c r="E37" s="20">
        <v>222</v>
      </c>
      <c r="F37" s="102">
        <f t="shared" si="0"/>
        <v>13811508</v>
      </c>
      <c r="G37" s="20">
        <f>'AT3B_cvrg(Insti)_UPY '!H36+'AT3B_cvrg(Insti)_UPY '!I36+'AT3B_cvrg(Insti)_UPY '!K36+'AT3C_cvrg(Insti)_UPY '!H36+'AT3C_cvrg(Insti)_UPY '!I36+'AT3C_cvrg(Insti)_UPY '!K36</f>
        <v>1347</v>
      </c>
      <c r="H37" s="536">
        <v>12712118</v>
      </c>
      <c r="I37" s="29">
        <v>222</v>
      </c>
      <c r="J37" s="536">
        <f t="shared" si="1"/>
        <v>57261.792792792796</v>
      </c>
    </row>
    <row r="38" spans="1:10" ht="12.75">
      <c r="A38" s="19">
        <v>27</v>
      </c>
      <c r="B38" s="328" t="s">
        <v>896</v>
      </c>
      <c r="C38" s="20">
        <v>1191</v>
      </c>
      <c r="D38" s="20">
        <v>108918</v>
      </c>
      <c r="E38" s="20">
        <v>222</v>
      </c>
      <c r="F38" s="102">
        <f t="shared" si="0"/>
        <v>24179796</v>
      </c>
      <c r="G38" s="20">
        <f>'AT3B_cvrg(Insti)_UPY '!H37+'AT3B_cvrg(Insti)_UPY '!I37+'AT3B_cvrg(Insti)_UPY '!K37+'AT3C_cvrg(Insti)_UPY '!H37+'AT3C_cvrg(Insti)_UPY '!I37+'AT3C_cvrg(Insti)_UPY '!K37</f>
        <v>1203</v>
      </c>
      <c r="H38" s="536">
        <v>24112914.46</v>
      </c>
      <c r="I38" s="29">
        <v>222</v>
      </c>
      <c r="J38" s="536">
        <f t="shared" si="1"/>
        <v>108616.73180180181</v>
      </c>
    </row>
    <row r="39" spans="1:10" ht="12.75">
      <c r="A39" s="19">
        <v>28</v>
      </c>
      <c r="B39" s="328" t="s">
        <v>897</v>
      </c>
      <c r="C39" s="20">
        <v>1474</v>
      </c>
      <c r="D39" s="20">
        <v>111899</v>
      </c>
      <c r="E39" s="20">
        <v>222</v>
      </c>
      <c r="F39" s="102">
        <f t="shared" si="0"/>
        <v>24841578</v>
      </c>
      <c r="G39" s="20">
        <f>'AT3B_cvrg(Insti)_UPY '!H38+'AT3B_cvrg(Insti)_UPY '!I38+'AT3B_cvrg(Insti)_UPY '!K38+'AT3C_cvrg(Insti)_UPY '!H38+'AT3C_cvrg(Insti)_UPY '!I38+'AT3C_cvrg(Insti)_UPY '!K38</f>
        <v>1455</v>
      </c>
      <c r="H39" s="536">
        <v>23121548</v>
      </c>
      <c r="I39" s="29">
        <v>222</v>
      </c>
      <c r="J39" s="536">
        <f t="shared" si="1"/>
        <v>104151.11711711712</v>
      </c>
    </row>
    <row r="40" spans="1:10" ht="12.75">
      <c r="A40" s="19">
        <v>29</v>
      </c>
      <c r="B40" s="328" t="s">
        <v>898</v>
      </c>
      <c r="C40" s="20">
        <v>714</v>
      </c>
      <c r="D40" s="20">
        <v>30720</v>
      </c>
      <c r="E40" s="20">
        <v>222</v>
      </c>
      <c r="F40" s="102">
        <f t="shared" si="0"/>
        <v>6819840</v>
      </c>
      <c r="G40" s="20">
        <f>'AT3B_cvrg(Insti)_UPY '!H39+'AT3B_cvrg(Insti)_UPY '!I39+'AT3B_cvrg(Insti)_UPY '!K39+'AT3C_cvrg(Insti)_UPY '!H39+'AT3C_cvrg(Insti)_UPY '!I39+'AT3C_cvrg(Insti)_UPY '!K39</f>
        <v>714</v>
      </c>
      <c r="H40" s="536">
        <v>6683183.04</v>
      </c>
      <c r="I40" s="29">
        <v>227</v>
      </c>
      <c r="J40" s="536">
        <f>H40/227</f>
        <v>29441.33497797357</v>
      </c>
    </row>
    <row r="41" spans="1:10" ht="12.75">
      <c r="A41" s="19">
        <v>30</v>
      </c>
      <c r="B41" s="328" t="s">
        <v>899</v>
      </c>
      <c r="C41" s="20">
        <v>1664</v>
      </c>
      <c r="D41" s="20">
        <v>165423</v>
      </c>
      <c r="E41" s="20">
        <v>222</v>
      </c>
      <c r="F41" s="102">
        <f t="shared" si="0"/>
        <v>36723906</v>
      </c>
      <c r="G41" s="20">
        <f>'AT3B_cvrg(Insti)_UPY '!H40+'AT3B_cvrg(Insti)_UPY '!I40+'AT3B_cvrg(Insti)_UPY '!K40+'AT3C_cvrg(Insti)_UPY '!H40+'AT3C_cvrg(Insti)_UPY '!I40+'AT3C_cvrg(Insti)_UPY '!K40</f>
        <v>1935</v>
      </c>
      <c r="H41" s="536">
        <v>36556799.39</v>
      </c>
      <c r="I41" s="29">
        <v>222</v>
      </c>
      <c r="J41" s="536">
        <f t="shared" si="1"/>
        <v>164670.26752252254</v>
      </c>
    </row>
    <row r="42" spans="1:10" ht="12.75">
      <c r="A42" s="19">
        <v>31</v>
      </c>
      <c r="B42" s="328" t="s">
        <v>900</v>
      </c>
      <c r="C42" s="20">
        <v>1484</v>
      </c>
      <c r="D42" s="20">
        <v>162891</v>
      </c>
      <c r="E42" s="20">
        <v>222</v>
      </c>
      <c r="F42" s="102">
        <f t="shared" si="0"/>
        <v>36161802</v>
      </c>
      <c r="G42" s="20">
        <f>'AT3B_cvrg(Insti)_UPY '!H41+'AT3B_cvrg(Insti)_UPY '!I41+'AT3B_cvrg(Insti)_UPY '!K41+'AT3C_cvrg(Insti)_UPY '!H41+'AT3C_cvrg(Insti)_UPY '!I41+'AT3C_cvrg(Insti)_UPY '!K41</f>
        <v>1507</v>
      </c>
      <c r="H42" s="536">
        <v>36149844</v>
      </c>
      <c r="I42" s="29">
        <v>222</v>
      </c>
      <c r="J42" s="536">
        <f t="shared" si="1"/>
        <v>162837.13513513515</v>
      </c>
    </row>
    <row r="43" spans="1:10" ht="12.75">
      <c r="A43" s="19">
        <v>32</v>
      </c>
      <c r="B43" s="328" t="s">
        <v>901</v>
      </c>
      <c r="C43" s="20">
        <v>736</v>
      </c>
      <c r="D43" s="20">
        <v>81895</v>
      </c>
      <c r="E43" s="20">
        <v>222</v>
      </c>
      <c r="F43" s="102">
        <f t="shared" si="0"/>
        <v>18180690</v>
      </c>
      <c r="G43" s="20">
        <f>'AT3B_cvrg(Insti)_UPY '!H42+'AT3B_cvrg(Insti)_UPY '!I42+'AT3B_cvrg(Insti)_UPY '!K42+'AT3C_cvrg(Insti)_UPY '!H42+'AT3C_cvrg(Insti)_UPY '!I42+'AT3C_cvrg(Insti)_UPY '!K42</f>
        <v>739</v>
      </c>
      <c r="H43" s="536">
        <v>17963660.88</v>
      </c>
      <c r="I43" s="29">
        <v>220</v>
      </c>
      <c r="J43" s="536">
        <f>H43/220</f>
        <v>81653.004</v>
      </c>
    </row>
    <row r="44" spans="1:10" ht="12.75">
      <c r="A44" s="19">
        <v>33</v>
      </c>
      <c r="B44" s="328" t="s">
        <v>902</v>
      </c>
      <c r="C44" s="20">
        <v>539</v>
      </c>
      <c r="D44" s="20">
        <v>44862</v>
      </c>
      <c r="E44" s="20">
        <v>222</v>
      </c>
      <c r="F44" s="102">
        <f t="shared" si="0"/>
        <v>9959364</v>
      </c>
      <c r="G44" s="20">
        <f>'AT3B_cvrg(Insti)_UPY '!H43+'AT3B_cvrg(Insti)_UPY '!I43+'AT3B_cvrg(Insti)_UPY '!K43+'AT3C_cvrg(Insti)_UPY '!H43+'AT3C_cvrg(Insti)_UPY '!I43+'AT3C_cvrg(Insti)_UPY '!K43</f>
        <v>542</v>
      </c>
      <c r="H44" s="536">
        <v>9100054</v>
      </c>
      <c r="I44" s="29">
        <v>222</v>
      </c>
      <c r="J44" s="536">
        <f t="shared" si="1"/>
        <v>40991.23423423423</v>
      </c>
    </row>
    <row r="45" spans="1:10" ht="12.75">
      <c r="A45" s="19">
        <v>34</v>
      </c>
      <c r="B45" s="328" t="s">
        <v>903</v>
      </c>
      <c r="C45" s="20">
        <v>582</v>
      </c>
      <c r="D45" s="20">
        <v>45032</v>
      </c>
      <c r="E45" s="20">
        <v>222</v>
      </c>
      <c r="F45" s="102">
        <f t="shared" si="0"/>
        <v>9997104</v>
      </c>
      <c r="G45" s="20">
        <f>'AT3B_cvrg(Insti)_UPY '!H44+'AT3B_cvrg(Insti)_UPY '!I44+'AT3B_cvrg(Insti)_UPY '!K44+'AT3C_cvrg(Insti)_UPY '!H44+'AT3C_cvrg(Insti)_UPY '!I44+'AT3C_cvrg(Insti)_UPY '!K44</f>
        <v>591</v>
      </c>
      <c r="H45" s="536">
        <v>10272019</v>
      </c>
      <c r="I45" s="29">
        <v>220</v>
      </c>
      <c r="J45" s="536">
        <f>H45/220</f>
        <v>46690.99545454545</v>
      </c>
    </row>
    <row r="46" spans="1:10" ht="12.75">
      <c r="A46" s="19">
        <v>35</v>
      </c>
      <c r="B46" s="328" t="s">
        <v>904</v>
      </c>
      <c r="C46" s="20">
        <v>1371</v>
      </c>
      <c r="D46" s="20">
        <v>96735</v>
      </c>
      <c r="E46" s="20">
        <v>222</v>
      </c>
      <c r="F46" s="102">
        <f t="shared" si="0"/>
        <v>21475170</v>
      </c>
      <c r="G46" s="20">
        <f>'AT3B_cvrg(Insti)_UPY '!H45+'AT3B_cvrg(Insti)_UPY '!I45+'AT3B_cvrg(Insti)_UPY '!K45+'AT3C_cvrg(Insti)_UPY '!H45+'AT3C_cvrg(Insti)_UPY '!I45+'AT3C_cvrg(Insti)_UPY '!K45</f>
        <v>1402</v>
      </c>
      <c r="H46" s="536">
        <v>21371530.53</v>
      </c>
      <c r="I46" s="29">
        <v>222</v>
      </c>
      <c r="J46" s="536">
        <f t="shared" si="1"/>
        <v>96268.15554054055</v>
      </c>
    </row>
    <row r="47" spans="1:10" ht="12.75">
      <c r="A47" s="3" t="s">
        <v>19</v>
      </c>
      <c r="B47" s="30"/>
      <c r="C47" s="30">
        <f>SUM(C12:C46)</f>
        <v>39100</v>
      </c>
      <c r="D47" s="20">
        <f>SUM(D12:D46)</f>
        <v>3658842</v>
      </c>
      <c r="E47" s="20">
        <v>222</v>
      </c>
      <c r="F47" s="102">
        <f t="shared" si="0"/>
        <v>812262924</v>
      </c>
      <c r="G47" s="20">
        <f>'AT3B_cvrg(Insti)_UPY '!H46+'AT3B_cvrg(Insti)_UPY '!I46+'AT3B_cvrg(Insti)_UPY '!K46+'AT3C_cvrg(Insti)_UPY '!H46+'AT3C_cvrg(Insti)_UPY '!I46+'AT3C_cvrg(Insti)_UPY '!K46</f>
        <v>39723</v>
      </c>
      <c r="H47" s="536">
        <f>SUM(H12:H46)</f>
        <v>806120702.86</v>
      </c>
      <c r="I47" s="29">
        <v>222</v>
      </c>
      <c r="J47" s="536">
        <f>SUM(J12:J46)</f>
        <v>3634416.547782949</v>
      </c>
    </row>
    <row r="48" spans="1:10" ht="12.75">
      <c r="A48" s="12"/>
      <c r="B48" s="31"/>
      <c r="C48" s="31"/>
      <c r="D48" s="340"/>
      <c r="E48" s="22"/>
      <c r="F48" s="22"/>
      <c r="G48" s="22"/>
      <c r="H48" s="22"/>
      <c r="I48" s="22"/>
      <c r="J48" s="22"/>
    </row>
    <row r="49" spans="1:10" ht="12.75">
      <c r="A49" s="12"/>
      <c r="B49" s="31"/>
      <c r="C49" s="31"/>
      <c r="D49" s="22"/>
      <c r="E49" s="22"/>
      <c r="F49" s="22"/>
      <c r="G49" s="22"/>
      <c r="H49" s="22"/>
      <c r="I49" s="22"/>
      <c r="J49" s="22"/>
    </row>
    <row r="50" spans="1:10" ht="12.75">
      <c r="A50" s="12"/>
      <c r="B50" s="31"/>
      <c r="C50" s="31"/>
      <c r="D50" s="22"/>
      <c r="E50" s="22"/>
      <c r="F50" s="22"/>
      <c r="G50" s="22"/>
      <c r="H50" s="22"/>
      <c r="I50" s="22"/>
      <c r="J50" s="22"/>
    </row>
    <row r="51" spans="1:10" ht="15.75" customHeight="1">
      <c r="A51" s="15" t="s">
        <v>12</v>
      </c>
      <c r="B51" s="15"/>
      <c r="C51" s="748" t="s">
        <v>1021</v>
      </c>
      <c r="D51" s="748"/>
      <c r="E51" s="748"/>
      <c r="F51" s="748"/>
      <c r="H51" s="748" t="s">
        <v>1024</v>
      </c>
      <c r="I51" s="748"/>
      <c r="J51" s="748"/>
    </row>
    <row r="52" spans="1:10" ht="12.75" customHeight="1">
      <c r="A52" s="83"/>
      <c r="B52" s="83"/>
      <c r="C52" s="748" t="s">
        <v>1022</v>
      </c>
      <c r="D52" s="748"/>
      <c r="E52" s="748"/>
      <c r="F52" s="748"/>
      <c r="H52" s="748" t="s">
        <v>1025</v>
      </c>
      <c r="I52" s="748"/>
      <c r="J52" s="748"/>
    </row>
    <row r="53" spans="1:10" ht="12.75" customHeight="1">
      <c r="A53" s="83"/>
      <c r="B53" s="83"/>
      <c r="C53" s="735" t="s">
        <v>1023</v>
      </c>
      <c r="D53" s="735"/>
      <c r="E53" s="735"/>
      <c r="F53" s="735"/>
      <c r="H53" s="735" t="s">
        <v>1023</v>
      </c>
      <c r="I53" s="735"/>
      <c r="J53" s="735"/>
    </row>
    <row r="54" spans="1:10" ht="12.75">
      <c r="A54" s="15"/>
      <c r="B54" s="15"/>
      <c r="C54" s="15"/>
      <c r="E54" s="15"/>
      <c r="H54" s="36"/>
      <c r="I54" s="36"/>
      <c r="J54" s="36"/>
    </row>
    <row r="56" ht="12.75">
      <c r="F56" s="16">
        <f>F50/70</f>
        <v>0</v>
      </c>
    </row>
    <row r="58" spans="1:10" ht="12.75">
      <c r="A58" s="839"/>
      <c r="B58" s="839"/>
      <c r="C58" s="839"/>
      <c r="D58" s="839"/>
      <c r="E58" s="839"/>
      <c r="F58" s="839"/>
      <c r="G58" s="839"/>
      <c r="H58" s="839"/>
      <c r="I58" s="839"/>
      <c r="J58" s="839"/>
    </row>
    <row r="60" spans="1:10" ht="12.75">
      <c r="A60" s="839"/>
      <c r="B60" s="839"/>
      <c r="C60" s="839"/>
      <c r="D60" s="839"/>
      <c r="E60" s="839"/>
      <c r="F60" s="839"/>
      <c r="G60" s="839"/>
      <c r="H60" s="839"/>
      <c r="I60" s="839"/>
      <c r="J60" s="839"/>
    </row>
  </sheetData>
  <sheetProtection/>
  <mergeCells count="17">
    <mergeCell ref="E1:I1"/>
    <mergeCell ref="A2:J2"/>
    <mergeCell ref="A3:J3"/>
    <mergeCell ref="A5:J5"/>
    <mergeCell ref="H8:J8"/>
    <mergeCell ref="A58:J58"/>
    <mergeCell ref="H53:J53"/>
    <mergeCell ref="A60:J60"/>
    <mergeCell ref="A9:A10"/>
    <mergeCell ref="B9:B10"/>
    <mergeCell ref="C9:F9"/>
    <mergeCell ref="G9:J9"/>
    <mergeCell ref="C51:F51"/>
    <mergeCell ref="H51:J51"/>
    <mergeCell ref="C52:F52"/>
    <mergeCell ref="H52:J52"/>
    <mergeCell ref="C53:F53"/>
  </mergeCells>
  <printOptions horizontalCentered="1"/>
  <pageMargins left="0.7086614173228347" right="0.7086614173228347" top="0.2362204724409449" bottom="0" header="0.24" footer="0.31496062992125984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BreakPreview" zoomScale="90" zoomScaleSheetLayoutView="90" zoomScalePageLayoutView="0" workbookViewId="0" topLeftCell="A1">
      <pane xSplit="9" topLeftCell="J1" activePane="topRight" state="frozen"/>
      <selection pane="topLeft" activeCell="A4" sqref="A4"/>
      <selection pane="topRight" activeCell="D63" sqref="D63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735"/>
      <c r="F1" s="735"/>
      <c r="G1" s="735"/>
      <c r="H1" s="735"/>
      <c r="I1" s="735"/>
      <c r="J1" s="134" t="s">
        <v>375</v>
      </c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</row>
    <row r="4" ht="14.25" customHeight="1"/>
    <row r="5" spans="1:10" ht="19.5" customHeight="1">
      <c r="A5" s="840" t="s">
        <v>701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6" t="s">
        <v>1005</v>
      </c>
      <c r="B8" s="36"/>
      <c r="C8" s="15"/>
      <c r="H8" s="804" t="s">
        <v>821</v>
      </c>
      <c r="I8" s="804"/>
      <c r="J8" s="804"/>
    </row>
    <row r="9" spans="1:10" ht="12.75">
      <c r="A9" s="709" t="s">
        <v>2</v>
      </c>
      <c r="B9" s="709" t="s">
        <v>3</v>
      </c>
      <c r="C9" s="694" t="s">
        <v>670</v>
      </c>
      <c r="D9" s="705"/>
      <c r="E9" s="705"/>
      <c r="F9" s="695"/>
      <c r="G9" s="694" t="s">
        <v>103</v>
      </c>
      <c r="H9" s="705"/>
      <c r="I9" s="705"/>
      <c r="J9" s="695"/>
    </row>
    <row r="10" spans="1:10" ht="77.25" customHeight="1">
      <c r="A10" s="709"/>
      <c r="B10" s="709"/>
      <c r="C10" s="5" t="s">
        <v>186</v>
      </c>
      <c r="D10" s="5" t="s">
        <v>17</v>
      </c>
      <c r="E10" s="252" t="s">
        <v>840</v>
      </c>
      <c r="F10" s="7" t="s">
        <v>204</v>
      </c>
      <c r="G10" s="5" t="s">
        <v>186</v>
      </c>
      <c r="H10" s="26" t="s">
        <v>18</v>
      </c>
      <c r="I10" s="103" t="s">
        <v>113</v>
      </c>
      <c r="J10" s="5" t="s">
        <v>205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9">
        <v>1</v>
      </c>
      <c r="B12" s="328" t="s">
        <v>870</v>
      </c>
      <c r="C12" s="20">
        <v>0</v>
      </c>
      <c r="D12" s="20">
        <v>0</v>
      </c>
      <c r="E12" s="20">
        <v>313</v>
      </c>
      <c r="F12" s="102">
        <f>D12*E12</f>
        <v>0</v>
      </c>
      <c r="G12" s="20">
        <f>'AT3A_cvrg(Insti)_PY'!J12+'AT3B_cvrg(Insti)_UPY '!J11+'AT3C_cvrg(Insti)_UPY '!J11</f>
        <v>0</v>
      </c>
      <c r="H12" s="29">
        <f>'enrolment vs availed_UPY'!O11</f>
        <v>0</v>
      </c>
      <c r="I12" s="29">
        <v>0</v>
      </c>
      <c r="J12" s="29">
        <v>0</v>
      </c>
    </row>
    <row r="13" spans="1:10" ht="12.75">
      <c r="A13" s="19">
        <v>2</v>
      </c>
      <c r="B13" s="328" t="s">
        <v>871</v>
      </c>
      <c r="C13" s="20">
        <v>0</v>
      </c>
      <c r="D13" s="20">
        <v>0</v>
      </c>
      <c r="E13" s="20">
        <v>313</v>
      </c>
      <c r="F13" s="102">
        <f aca="true" t="shared" si="0" ref="F13:F46">D13*E13</f>
        <v>0</v>
      </c>
      <c r="G13" s="20">
        <f>'AT3A_cvrg(Insti)_PY'!J13+'AT3B_cvrg(Insti)_UPY '!J12+'AT3C_cvrg(Insti)_UPY '!J12</f>
        <v>0</v>
      </c>
      <c r="H13" s="29">
        <f>'enrolment vs availed_UPY'!O12</f>
        <v>0</v>
      </c>
      <c r="I13" s="29">
        <v>0</v>
      </c>
      <c r="J13" s="29">
        <v>0</v>
      </c>
    </row>
    <row r="14" spans="1:10" ht="12.75">
      <c r="A14" s="19">
        <v>3</v>
      </c>
      <c r="B14" s="328" t="s">
        <v>872</v>
      </c>
      <c r="C14" s="20">
        <v>32</v>
      </c>
      <c r="D14" s="20">
        <v>573</v>
      </c>
      <c r="E14" s="20">
        <v>313</v>
      </c>
      <c r="F14" s="102">
        <f t="shared" si="0"/>
        <v>179349</v>
      </c>
      <c r="G14" s="20">
        <f>'AT3A_cvrg(Insti)_PY'!J14+'AT3B_cvrg(Insti)_UPY '!J13+'AT3C_cvrg(Insti)_UPY '!J13</f>
        <v>30</v>
      </c>
      <c r="H14" s="29">
        <f>'enrolment vs availed_UPY'!O13</f>
        <v>0</v>
      </c>
      <c r="I14" s="29">
        <v>305</v>
      </c>
      <c r="J14" s="536">
        <f>H14/D14</f>
        <v>0</v>
      </c>
    </row>
    <row r="15" spans="1:10" ht="12.75">
      <c r="A15" s="19">
        <v>4</v>
      </c>
      <c r="B15" s="328" t="s">
        <v>873</v>
      </c>
      <c r="C15" s="20">
        <v>0</v>
      </c>
      <c r="D15" s="20">
        <v>0</v>
      </c>
      <c r="E15" s="20">
        <v>313</v>
      </c>
      <c r="F15" s="102">
        <f t="shared" si="0"/>
        <v>0</v>
      </c>
      <c r="G15" s="20">
        <f>'AT3A_cvrg(Insti)_PY'!J15+'AT3B_cvrg(Insti)_UPY '!J14+'AT3C_cvrg(Insti)_UPY '!J14</f>
        <v>0</v>
      </c>
      <c r="H15" s="29">
        <f>'enrolment vs availed_UPY'!O14</f>
        <v>0</v>
      </c>
      <c r="I15" s="29">
        <v>0</v>
      </c>
      <c r="J15" s="536">
        <v>0</v>
      </c>
    </row>
    <row r="16" spans="1:10" ht="12.75">
      <c r="A16" s="19">
        <v>5</v>
      </c>
      <c r="B16" s="328" t="s">
        <v>874</v>
      </c>
      <c r="C16" s="20">
        <v>23</v>
      </c>
      <c r="D16" s="20">
        <v>1144</v>
      </c>
      <c r="E16" s="20">
        <v>313</v>
      </c>
      <c r="F16" s="102">
        <f t="shared" si="0"/>
        <v>358072</v>
      </c>
      <c r="G16" s="20">
        <f>'AT3A_cvrg(Insti)_PY'!J16+'AT3B_cvrg(Insti)_UPY '!J15+'AT3C_cvrg(Insti)_UPY '!J15</f>
        <v>23</v>
      </c>
      <c r="H16" s="29">
        <f>'enrolment vs availed_UPY'!O15</f>
        <v>83198</v>
      </c>
      <c r="I16" s="29">
        <v>306</v>
      </c>
      <c r="J16" s="536">
        <f>H16/D16</f>
        <v>72.72552447552448</v>
      </c>
    </row>
    <row r="17" spans="1:10" ht="12.75">
      <c r="A17" s="19">
        <v>6</v>
      </c>
      <c r="B17" s="328" t="s">
        <v>875</v>
      </c>
      <c r="C17" s="20">
        <v>0</v>
      </c>
      <c r="D17" s="20">
        <v>0</v>
      </c>
      <c r="E17" s="20">
        <v>313</v>
      </c>
      <c r="F17" s="102">
        <f t="shared" si="0"/>
        <v>0</v>
      </c>
      <c r="G17" s="20">
        <f>'AT3A_cvrg(Insti)_PY'!J17+'AT3B_cvrg(Insti)_UPY '!J16+'AT3C_cvrg(Insti)_UPY '!J16</f>
        <v>0</v>
      </c>
      <c r="H17" s="29">
        <f>'enrolment vs availed_UPY'!O16</f>
        <v>0</v>
      </c>
      <c r="I17" s="29"/>
      <c r="J17" s="536">
        <v>0</v>
      </c>
    </row>
    <row r="18" spans="1:10" ht="12.75">
      <c r="A18" s="19">
        <v>7</v>
      </c>
      <c r="B18" s="328" t="s">
        <v>876</v>
      </c>
      <c r="C18" s="20">
        <v>0</v>
      </c>
      <c r="D18" s="20">
        <v>0</v>
      </c>
      <c r="E18" s="20">
        <v>313</v>
      </c>
      <c r="F18" s="102">
        <f t="shared" si="0"/>
        <v>0</v>
      </c>
      <c r="G18" s="20">
        <f>'AT3A_cvrg(Insti)_PY'!J18+'AT3B_cvrg(Insti)_UPY '!J17+'AT3C_cvrg(Insti)_UPY '!J17</f>
        <v>0</v>
      </c>
      <c r="H18" s="29">
        <f>'enrolment vs availed_UPY'!O17</f>
        <v>0</v>
      </c>
      <c r="I18" s="29">
        <v>0</v>
      </c>
      <c r="J18" s="536">
        <v>0</v>
      </c>
    </row>
    <row r="19" spans="1:10" ht="12.75">
      <c r="A19" s="19">
        <v>8</v>
      </c>
      <c r="B19" s="328" t="s">
        <v>877</v>
      </c>
      <c r="C19" s="20">
        <v>0</v>
      </c>
      <c r="D19" s="20">
        <v>0</v>
      </c>
      <c r="E19" s="20">
        <v>313</v>
      </c>
      <c r="F19" s="102">
        <f t="shared" si="0"/>
        <v>0</v>
      </c>
      <c r="G19" s="20">
        <f>'AT3A_cvrg(Insti)_PY'!J19+'AT3B_cvrg(Insti)_UPY '!J18+'AT3C_cvrg(Insti)_UPY '!J18</f>
        <v>0</v>
      </c>
      <c r="H19" s="29">
        <f>'enrolment vs availed_UPY'!O18</f>
        <v>0</v>
      </c>
      <c r="I19" s="29">
        <v>0</v>
      </c>
      <c r="J19" s="536">
        <v>0</v>
      </c>
    </row>
    <row r="20" spans="1:10" ht="12.75">
      <c r="A20" s="19">
        <v>9</v>
      </c>
      <c r="B20" s="328" t="s">
        <v>878</v>
      </c>
      <c r="C20" s="20">
        <v>18</v>
      </c>
      <c r="D20" s="20">
        <v>814</v>
      </c>
      <c r="E20" s="20">
        <v>313</v>
      </c>
      <c r="F20" s="102">
        <f t="shared" si="0"/>
        <v>254782</v>
      </c>
      <c r="G20" s="20">
        <f>'AT3A_cvrg(Insti)_PY'!J20+'AT3B_cvrg(Insti)_UPY '!J19+'AT3C_cvrg(Insti)_UPY '!J19</f>
        <v>16</v>
      </c>
      <c r="H20" s="29">
        <f>'enrolment vs availed_UPY'!O19</f>
        <v>106850</v>
      </c>
      <c r="I20" s="29">
        <v>312</v>
      </c>
      <c r="J20" s="536">
        <f>H20/D20</f>
        <v>131.26535626535627</v>
      </c>
    </row>
    <row r="21" spans="1:10" ht="12.75">
      <c r="A21" s="19">
        <v>10</v>
      </c>
      <c r="B21" s="328" t="s">
        <v>879</v>
      </c>
      <c r="C21" s="20">
        <v>0</v>
      </c>
      <c r="D21" s="20">
        <v>0</v>
      </c>
      <c r="E21" s="20">
        <v>313</v>
      </c>
      <c r="F21" s="102">
        <f t="shared" si="0"/>
        <v>0</v>
      </c>
      <c r="G21" s="20">
        <f>'AT3A_cvrg(Insti)_PY'!J21+'AT3B_cvrg(Insti)_UPY '!J20+'AT3C_cvrg(Insti)_UPY '!J20</f>
        <v>0</v>
      </c>
      <c r="H21" s="29">
        <f>'enrolment vs availed_UPY'!O20</f>
        <v>0</v>
      </c>
      <c r="I21" s="29"/>
      <c r="J21" s="536">
        <v>0</v>
      </c>
    </row>
    <row r="22" spans="1:10" ht="12.75">
      <c r="A22" s="19">
        <v>11</v>
      </c>
      <c r="B22" s="328" t="s">
        <v>880</v>
      </c>
      <c r="C22" s="20">
        <v>0</v>
      </c>
      <c r="D22" s="20">
        <v>0</v>
      </c>
      <c r="E22" s="20">
        <v>313</v>
      </c>
      <c r="F22" s="102">
        <f t="shared" si="0"/>
        <v>0</v>
      </c>
      <c r="G22" s="20">
        <f>'AT3A_cvrg(Insti)_PY'!J22+'AT3B_cvrg(Insti)_UPY '!J21+'AT3C_cvrg(Insti)_UPY '!J21</f>
        <v>0</v>
      </c>
      <c r="H22" s="29">
        <f>'enrolment vs availed_UPY'!O21</f>
        <v>0</v>
      </c>
      <c r="I22" s="29">
        <v>0</v>
      </c>
      <c r="J22" s="536">
        <v>0</v>
      </c>
    </row>
    <row r="23" spans="1:10" ht="12.75">
      <c r="A23" s="19">
        <v>12</v>
      </c>
      <c r="B23" s="328" t="s">
        <v>881</v>
      </c>
      <c r="C23" s="20">
        <v>0</v>
      </c>
      <c r="D23" s="20">
        <v>0</v>
      </c>
      <c r="E23" s="20">
        <v>313</v>
      </c>
      <c r="F23" s="102">
        <f t="shared" si="0"/>
        <v>0</v>
      </c>
      <c r="G23" s="20">
        <f>'AT3A_cvrg(Insti)_PY'!J23+'AT3B_cvrg(Insti)_UPY '!J22+'AT3C_cvrg(Insti)_UPY '!J22</f>
        <v>0</v>
      </c>
      <c r="H23" s="29">
        <f>'enrolment vs availed_UPY'!O22</f>
        <v>0</v>
      </c>
      <c r="I23" s="29">
        <v>0</v>
      </c>
      <c r="J23" s="536">
        <v>0</v>
      </c>
    </row>
    <row r="24" spans="1:10" ht="12.75">
      <c r="A24" s="19">
        <v>13</v>
      </c>
      <c r="B24" s="328" t="s">
        <v>882</v>
      </c>
      <c r="C24" s="20">
        <v>16</v>
      </c>
      <c r="D24" s="20">
        <v>872</v>
      </c>
      <c r="E24" s="20">
        <v>313</v>
      </c>
      <c r="F24" s="102">
        <f t="shared" si="0"/>
        <v>272936</v>
      </c>
      <c r="G24" s="20">
        <f>'AT3A_cvrg(Insti)_PY'!J24+'AT3B_cvrg(Insti)_UPY '!J23+'AT3C_cvrg(Insti)_UPY '!J23</f>
        <v>28</v>
      </c>
      <c r="H24" s="29">
        <f>'enrolment vs availed_UPY'!O23</f>
        <v>335693</v>
      </c>
      <c r="I24" s="29">
        <v>313</v>
      </c>
      <c r="J24" s="536">
        <f>H24/D24</f>
        <v>384.9690366972477</v>
      </c>
    </row>
    <row r="25" spans="1:10" ht="12.75">
      <c r="A25" s="19">
        <v>14</v>
      </c>
      <c r="B25" s="328" t="s">
        <v>883</v>
      </c>
      <c r="C25" s="20">
        <v>0</v>
      </c>
      <c r="D25" s="20">
        <v>0</v>
      </c>
      <c r="E25" s="20">
        <v>313</v>
      </c>
      <c r="F25" s="102">
        <f t="shared" si="0"/>
        <v>0</v>
      </c>
      <c r="G25" s="20">
        <f>'AT3A_cvrg(Insti)_PY'!J25+'AT3B_cvrg(Insti)_UPY '!J24+'AT3C_cvrg(Insti)_UPY '!J24</f>
        <v>0</v>
      </c>
      <c r="H25" s="29">
        <f>'enrolment vs availed_UPY'!O24</f>
        <v>0</v>
      </c>
      <c r="I25" s="29">
        <v>0</v>
      </c>
      <c r="J25" s="536">
        <v>0</v>
      </c>
    </row>
    <row r="26" spans="1:10" ht="12.75">
      <c r="A26" s="19">
        <v>15</v>
      </c>
      <c r="B26" s="328" t="s">
        <v>884</v>
      </c>
      <c r="C26" s="20">
        <v>0</v>
      </c>
      <c r="D26" s="20">
        <v>0</v>
      </c>
      <c r="E26" s="20">
        <v>313</v>
      </c>
      <c r="F26" s="102">
        <f t="shared" si="0"/>
        <v>0</v>
      </c>
      <c r="G26" s="20">
        <f>'AT3A_cvrg(Insti)_PY'!J26+'AT3B_cvrg(Insti)_UPY '!J25+'AT3C_cvrg(Insti)_UPY '!J25</f>
        <v>0</v>
      </c>
      <c r="H26" s="29">
        <f>'enrolment vs availed_UPY'!O25</f>
        <v>0</v>
      </c>
      <c r="I26" s="29">
        <v>0</v>
      </c>
      <c r="J26" s="536">
        <v>0</v>
      </c>
    </row>
    <row r="27" spans="1:10" ht="12.75">
      <c r="A27" s="19">
        <v>16</v>
      </c>
      <c r="B27" s="328" t="s">
        <v>885</v>
      </c>
      <c r="C27" s="20">
        <v>0</v>
      </c>
      <c r="D27" s="20">
        <v>0</v>
      </c>
      <c r="E27" s="20">
        <v>313</v>
      </c>
      <c r="F27" s="102">
        <f t="shared" si="0"/>
        <v>0</v>
      </c>
      <c r="G27" s="20">
        <f>'AT3A_cvrg(Insti)_PY'!J27+'AT3B_cvrg(Insti)_UPY '!J26+'AT3C_cvrg(Insti)_UPY '!J26</f>
        <v>0</v>
      </c>
      <c r="H27" s="29">
        <f>'enrolment vs availed_UPY'!O26</f>
        <v>0</v>
      </c>
      <c r="I27" s="29">
        <v>0</v>
      </c>
      <c r="J27" s="536">
        <v>0</v>
      </c>
    </row>
    <row r="28" spans="1:10" ht="12.75">
      <c r="A28" s="19">
        <v>17</v>
      </c>
      <c r="B28" s="328" t="s">
        <v>886</v>
      </c>
      <c r="C28" s="20">
        <v>0</v>
      </c>
      <c r="D28" s="20">
        <v>0</v>
      </c>
      <c r="E28" s="20">
        <v>313</v>
      </c>
      <c r="F28" s="102">
        <f t="shared" si="0"/>
        <v>0</v>
      </c>
      <c r="G28" s="20">
        <f>'AT3A_cvrg(Insti)_PY'!J28+'AT3B_cvrg(Insti)_UPY '!J27+'AT3C_cvrg(Insti)_UPY '!J27</f>
        <v>0</v>
      </c>
      <c r="H28" s="29">
        <f>'enrolment vs availed_UPY'!O27</f>
        <v>0</v>
      </c>
      <c r="I28" s="29">
        <v>0</v>
      </c>
      <c r="J28" s="536">
        <v>0</v>
      </c>
    </row>
    <row r="29" spans="1:10" ht="12.75">
      <c r="A29" s="19">
        <v>18</v>
      </c>
      <c r="B29" s="328" t="s">
        <v>887</v>
      </c>
      <c r="C29" s="20">
        <v>0</v>
      </c>
      <c r="D29" s="20">
        <v>0</v>
      </c>
      <c r="E29" s="20">
        <v>313</v>
      </c>
      <c r="F29" s="102">
        <f t="shared" si="0"/>
        <v>0</v>
      </c>
      <c r="G29" s="20">
        <f>'AT3A_cvrg(Insti)_PY'!J29+'AT3B_cvrg(Insti)_UPY '!J28+'AT3C_cvrg(Insti)_UPY '!J28</f>
        <v>0</v>
      </c>
      <c r="H29" s="29">
        <f>'enrolment vs availed_UPY'!O28</f>
        <v>0</v>
      </c>
      <c r="I29" s="29">
        <v>0</v>
      </c>
      <c r="J29" s="536">
        <v>0</v>
      </c>
    </row>
    <row r="30" spans="1:10" ht="12.75">
      <c r="A30" s="19">
        <v>19</v>
      </c>
      <c r="B30" s="328" t="s">
        <v>888</v>
      </c>
      <c r="C30" s="20">
        <v>0</v>
      </c>
      <c r="D30" s="20">
        <v>0</v>
      </c>
      <c r="E30" s="20">
        <v>313</v>
      </c>
      <c r="F30" s="102">
        <f t="shared" si="0"/>
        <v>0</v>
      </c>
      <c r="G30" s="20">
        <f>'AT3A_cvrg(Insti)_PY'!J30+'AT3B_cvrg(Insti)_UPY '!J29+'AT3C_cvrg(Insti)_UPY '!J29</f>
        <v>0</v>
      </c>
      <c r="H30" s="29">
        <f>'enrolment vs availed_UPY'!O29</f>
        <v>0</v>
      </c>
      <c r="I30" s="29">
        <v>0</v>
      </c>
      <c r="J30" s="536">
        <v>0</v>
      </c>
    </row>
    <row r="31" spans="1:10" ht="12.75">
      <c r="A31" s="19">
        <v>20</v>
      </c>
      <c r="B31" s="328" t="s">
        <v>889</v>
      </c>
      <c r="C31" s="20">
        <v>0</v>
      </c>
      <c r="D31" s="20">
        <v>0</v>
      </c>
      <c r="E31" s="20">
        <v>313</v>
      </c>
      <c r="F31" s="102">
        <f t="shared" si="0"/>
        <v>0</v>
      </c>
      <c r="G31" s="20">
        <f>'AT3A_cvrg(Insti)_PY'!J31+'AT3B_cvrg(Insti)_UPY '!J30+'AT3C_cvrg(Insti)_UPY '!J30</f>
        <v>0</v>
      </c>
      <c r="H31" s="29">
        <f>'enrolment vs availed_UPY'!O30</f>
        <v>0</v>
      </c>
      <c r="I31" s="29">
        <v>0</v>
      </c>
      <c r="J31" s="536">
        <v>0</v>
      </c>
    </row>
    <row r="32" spans="1:10" ht="12.75">
      <c r="A32" s="19">
        <v>21</v>
      </c>
      <c r="B32" s="328" t="s">
        <v>890</v>
      </c>
      <c r="C32" s="20">
        <v>0</v>
      </c>
      <c r="D32" s="20">
        <v>0</v>
      </c>
      <c r="E32" s="20">
        <v>313</v>
      </c>
      <c r="F32" s="102">
        <f t="shared" si="0"/>
        <v>0</v>
      </c>
      <c r="G32" s="20">
        <f>'AT3A_cvrg(Insti)_PY'!J32+'AT3B_cvrg(Insti)_UPY '!J31+'AT3C_cvrg(Insti)_UPY '!J31</f>
        <v>0</v>
      </c>
      <c r="H32" s="29">
        <f>'enrolment vs availed_UPY'!O31</f>
        <v>0</v>
      </c>
      <c r="I32" s="29">
        <v>0</v>
      </c>
      <c r="J32" s="536">
        <v>0</v>
      </c>
    </row>
    <row r="33" spans="1:10" ht="12.75">
      <c r="A33" s="19">
        <v>22</v>
      </c>
      <c r="B33" s="328" t="s">
        <v>891</v>
      </c>
      <c r="C33" s="20">
        <v>0</v>
      </c>
      <c r="D33" s="20">
        <v>0</v>
      </c>
      <c r="E33" s="20">
        <v>313</v>
      </c>
      <c r="F33" s="102">
        <f t="shared" si="0"/>
        <v>0</v>
      </c>
      <c r="G33" s="20">
        <f>'AT3A_cvrg(Insti)_PY'!J33+'AT3B_cvrg(Insti)_UPY '!J32+'AT3C_cvrg(Insti)_UPY '!J32</f>
        <v>0</v>
      </c>
      <c r="H33" s="29">
        <f>'enrolment vs availed_UPY'!O32</f>
        <v>0</v>
      </c>
      <c r="I33" s="29">
        <v>0</v>
      </c>
      <c r="J33" s="536">
        <v>0</v>
      </c>
    </row>
    <row r="34" spans="1:10" ht="12.75">
      <c r="A34" s="19">
        <v>23</v>
      </c>
      <c r="B34" s="328" t="s">
        <v>892</v>
      </c>
      <c r="C34" s="20">
        <v>19</v>
      </c>
      <c r="D34" s="20">
        <v>1100</v>
      </c>
      <c r="E34" s="20">
        <v>313</v>
      </c>
      <c r="F34" s="102">
        <f t="shared" si="0"/>
        <v>344300</v>
      </c>
      <c r="G34" s="20">
        <f>'AT3A_cvrg(Insti)_PY'!J34+'AT3B_cvrg(Insti)_UPY '!J33+'AT3C_cvrg(Insti)_UPY '!J33</f>
        <v>20</v>
      </c>
      <c r="H34" s="29">
        <f>'enrolment vs availed_UPY'!O33</f>
        <v>172292</v>
      </c>
      <c r="I34" s="29">
        <v>313</v>
      </c>
      <c r="J34" s="536">
        <f>H34/D34</f>
        <v>156.6290909090909</v>
      </c>
    </row>
    <row r="35" spans="1:10" ht="12.75">
      <c r="A35" s="19">
        <v>24</v>
      </c>
      <c r="B35" s="328" t="s">
        <v>893</v>
      </c>
      <c r="C35" s="20">
        <v>0</v>
      </c>
      <c r="D35" s="20">
        <v>0</v>
      </c>
      <c r="E35" s="20">
        <v>313</v>
      </c>
      <c r="F35" s="102">
        <f t="shared" si="0"/>
        <v>0</v>
      </c>
      <c r="G35" s="20">
        <f>'AT3A_cvrg(Insti)_PY'!J35+'AT3B_cvrg(Insti)_UPY '!J34+'AT3C_cvrg(Insti)_UPY '!J34</f>
        <v>0</v>
      </c>
      <c r="H35" s="29">
        <f>'enrolment vs availed_UPY'!O34</f>
        <v>0</v>
      </c>
      <c r="I35" s="29">
        <v>0</v>
      </c>
      <c r="J35" s="536">
        <v>0</v>
      </c>
    </row>
    <row r="36" spans="1:10" ht="12.75">
      <c r="A36" s="19">
        <v>25</v>
      </c>
      <c r="B36" s="328" t="s">
        <v>894</v>
      </c>
      <c r="C36" s="20">
        <v>0</v>
      </c>
      <c r="D36" s="20">
        <v>0</v>
      </c>
      <c r="E36" s="20">
        <v>313</v>
      </c>
      <c r="F36" s="102">
        <f t="shared" si="0"/>
        <v>0</v>
      </c>
      <c r="G36" s="20">
        <f>'AT3A_cvrg(Insti)_PY'!J36+'AT3B_cvrg(Insti)_UPY '!J35+'AT3C_cvrg(Insti)_UPY '!J35</f>
        <v>0</v>
      </c>
      <c r="H36" s="29">
        <f>'enrolment vs availed_UPY'!O35</f>
        <v>0</v>
      </c>
      <c r="I36" s="29">
        <v>0</v>
      </c>
      <c r="J36" s="536">
        <v>0</v>
      </c>
    </row>
    <row r="37" spans="1:10" ht="12.75">
      <c r="A37" s="19">
        <v>26</v>
      </c>
      <c r="B37" s="328" t="s">
        <v>895</v>
      </c>
      <c r="C37" s="20">
        <v>0</v>
      </c>
      <c r="D37" s="20">
        <v>0</v>
      </c>
      <c r="E37" s="20">
        <v>313</v>
      </c>
      <c r="F37" s="102">
        <f t="shared" si="0"/>
        <v>0</v>
      </c>
      <c r="G37" s="20">
        <f>'AT3A_cvrg(Insti)_PY'!J37+'AT3B_cvrg(Insti)_UPY '!J36+'AT3C_cvrg(Insti)_UPY '!J36</f>
        <v>0</v>
      </c>
      <c r="H37" s="29">
        <f>'enrolment vs availed_UPY'!O36</f>
        <v>0</v>
      </c>
      <c r="I37" s="29"/>
      <c r="J37" s="536">
        <v>0</v>
      </c>
    </row>
    <row r="38" spans="1:10" ht="12.75">
      <c r="A38" s="19">
        <v>27</v>
      </c>
      <c r="B38" s="328" t="s">
        <v>896</v>
      </c>
      <c r="C38" s="20">
        <v>6</v>
      </c>
      <c r="D38" s="20">
        <v>277</v>
      </c>
      <c r="E38" s="20">
        <v>313</v>
      </c>
      <c r="F38" s="102">
        <f t="shared" si="0"/>
        <v>86701</v>
      </c>
      <c r="G38" s="20">
        <f>'AT3A_cvrg(Insti)_PY'!J38+'AT3B_cvrg(Insti)_UPY '!J37+'AT3C_cvrg(Insti)_UPY '!J37</f>
        <v>6</v>
      </c>
      <c r="H38" s="29">
        <f>'enrolment vs availed_UPY'!O37</f>
        <v>39662</v>
      </c>
      <c r="I38" s="29">
        <v>313</v>
      </c>
      <c r="J38" s="536">
        <f>H38/D38</f>
        <v>143.1841155234657</v>
      </c>
    </row>
    <row r="39" spans="1:10" ht="12.75">
      <c r="A39" s="19">
        <v>28</v>
      </c>
      <c r="B39" s="328" t="s">
        <v>897</v>
      </c>
      <c r="C39" s="20">
        <v>0</v>
      </c>
      <c r="D39" s="20">
        <v>0</v>
      </c>
      <c r="E39" s="20">
        <v>313</v>
      </c>
      <c r="F39" s="102">
        <f t="shared" si="0"/>
        <v>0</v>
      </c>
      <c r="G39" s="20">
        <f>'AT3A_cvrg(Insti)_PY'!J39+'AT3B_cvrg(Insti)_UPY '!J38+'AT3C_cvrg(Insti)_UPY '!J38</f>
        <v>0</v>
      </c>
      <c r="H39" s="29">
        <f>'enrolment vs availed_UPY'!O38</f>
        <v>0</v>
      </c>
      <c r="I39" s="29">
        <v>0</v>
      </c>
      <c r="J39" s="536">
        <v>0</v>
      </c>
    </row>
    <row r="40" spans="1:10" ht="12.75">
      <c r="A40" s="19">
        <v>29</v>
      </c>
      <c r="B40" s="328" t="s">
        <v>898</v>
      </c>
      <c r="C40" s="20">
        <v>0</v>
      </c>
      <c r="D40" s="20">
        <v>0</v>
      </c>
      <c r="E40" s="20">
        <v>313</v>
      </c>
      <c r="F40" s="102">
        <f t="shared" si="0"/>
        <v>0</v>
      </c>
      <c r="G40" s="20">
        <f>'AT3A_cvrg(Insti)_PY'!J40+'AT3B_cvrg(Insti)_UPY '!J39+'AT3C_cvrg(Insti)_UPY '!J39</f>
        <v>0</v>
      </c>
      <c r="H40" s="29">
        <f>'enrolment vs availed_UPY'!O39</f>
        <v>0</v>
      </c>
      <c r="I40" s="29">
        <v>0</v>
      </c>
      <c r="J40" s="536">
        <v>0</v>
      </c>
    </row>
    <row r="41" spans="1:10" ht="12.75">
      <c r="A41" s="19">
        <v>30</v>
      </c>
      <c r="B41" s="328" t="s">
        <v>899</v>
      </c>
      <c r="C41" s="20">
        <v>0</v>
      </c>
      <c r="D41" s="20">
        <v>0</v>
      </c>
      <c r="E41" s="20">
        <v>313</v>
      </c>
      <c r="F41" s="102">
        <f t="shared" si="0"/>
        <v>0</v>
      </c>
      <c r="G41" s="20">
        <f>'AT3A_cvrg(Insti)_PY'!J41+'AT3B_cvrg(Insti)_UPY '!J40+'AT3C_cvrg(Insti)_UPY '!J40</f>
        <v>0</v>
      </c>
      <c r="H41" s="29">
        <f>'enrolment vs availed_UPY'!O40</f>
        <v>0</v>
      </c>
      <c r="I41" s="29"/>
      <c r="J41" s="536">
        <v>0</v>
      </c>
    </row>
    <row r="42" spans="1:10" ht="12.75">
      <c r="A42" s="19">
        <v>31</v>
      </c>
      <c r="B42" s="328" t="s">
        <v>900</v>
      </c>
      <c r="C42" s="20">
        <v>33</v>
      </c>
      <c r="D42" s="20">
        <v>1134</v>
      </c>
      <c r="E42" s="20">
        <v>313</v>
      </c>
      <c r="F42" s="102">
        <f t="shared" si="0"/>
        <v>354942</v>
      </c>
      <c r="G42" s="20">
        <f>'AT3A_cvrg(Insti)_PY'!J42+'AT3B_cvrg(Insti)_UPY '!J41+'AT3C_cvrg(Insti)_UPY '!J41</f>
        <v>37</v>
      </c>
      <c r="H42" s="29">
        <f>'enrolment vs availed_UPY'!O41</f>
        <v>221159</v>
      </c>
      <c r="I42" s="29">
        <v>313</v>
      </c>
      <c r="J42" s="536">
        <f>H42/D42</f>
        <v>195.02557319223985</v>
      </c>
    </row>
    <row r="43" spans="1:10" ht="12.75">
      <c r="A43" s="19">
        <v>32</v>
      </c>
      <c r="B43" s="328" t="s">
        <v>901</v>
      </c>
      <c r="C43" s="20">
        <v>0</v>
      </c>
      <c r="D43" s="20">
        <v>0</v>
      </c>
      <c r="E43" s="20">
        <v>313</v>
      </c>
      <c r="F43" s="102">
        <f t="shared" si="0"/>
        <v>0</v>
      </c>
      <c r="G43" s="20">
        <f>'AT3A_cvrg(Insti)_PY'!J43+'AT3B_cvrg(Insti)_UPY '!J42+'AT3C_cvrg(Insti)_UPY '!J42</f>
        <v>0</v>
      </c>
      <c r="H43" s="29">
        <f>'enrolment vs availed_UPY'!O42</f>
        <v>0</v>
      </c>
      <c r="I43" s="29">
        <v>0</v>
      </c>
      <c r="J43" s="536">
        <v>0</v>
      </c>
    </row>
    <row r="44" spans="1:10" ht="12.75">
      <c r="A44" s="19">
        <v>33</v>
      </c>
      <c r="B44" s="328" t="s">
        <v>902</v>
      </c>
      <c r="C44" s="20">
        <v>0</v>
      </c>
      <c r="D44" s="20">
        <v>0</v>
      </c>
      <c r="E44" s="20">
        <v>313</v>
      </c>
      <c r="F44" s="102">
        <f t="shared" si="0"/>
        <v>0</v>
      </c>
      <c r="G44" s="20">
        <f>'AT3A_cvrg(Insti)_PY'!J44+'AT3B_cvrg(Insti)_UPY '!J43+'AT3C_cvrg(Insti)_UPY '!J43</f>
        <v>0</v>
      </c>
      <c r="H44" s="29">
        <f>'enrolment vs availed_UPY'!O43</f>
        <v>0</v>
      </c>
      <c r="I44" s="29">
        <v>0</v>
      </c>
      <c r="J44" s="536">
        <v>0</v>
      </c>
    </row>
    <row r="45" spans="1:10" ht="12.75">
      <c r="A45" s="19">
        <v>34</v>
      </c>
      <c r="B45" s="328" t="s">
        <v>903</v>
      </c>
      <c r="C45" s="20">
        <v>0</v>
      </c>
      <c r="D45" s="20">
        <v>0</v>
      </c>
      <c r="E45" s="20">
        <v>313</v>
      </c>
      <c r="F45" s="102">
        <f t="shared" si="0"/>
        <v>0</v>
      </c>
      <c r="G45" s="20">
        <f>'AT3A_cvrg(Insti)_PY'!J45+'AT3B_cvrg(Insti)_UPY '!J44+'AT3C_cvrg(Insti)_UPY '!J44</f>
        <v>0</v>
      </c>
      <c r="H45" s="29">
        <f>'enrolment vs availed_UPY'!O44</f>
        <v>0</v>
      </c>
      <c r="I45" s="29">
        <v>0</v>
      </c>
      <c r="J45" s="536">
        <v>0</v>
      </c>
    </row>
    <row r="46" spans="1:10" ht="12.75">
      <c r="A46" s="19">
        <v>35</v>
      </c>
      <c r="B46" s="328" t="s">
        <v>904</v>
      </c>
      <c r="C46" s="20">
        <v>0</v>
      </c>
      <c r="D46" s="20">
        <v>0</v>
      </c>
      <c r="E46" s="20">
        <v>313</v>
      </c>
      <c r="F46" s="102">
        <f t="shared" si="0"/>
        <v>0</v>
      </c>
      <c r="G46" s="20">
        <f>'AT3A_cvrg(Insti)_PY'!J46+'AT3B_cvrg(Insti)_UPY '!J45+'AT3C_cvrg(Insti)_UPY '!J45</f>
        <v>0</v>
      </c>
      <c r="H46" s="29"/>
      <c r="I46" s="29">
        <v>0</v>
      </c>
      <c r="J46" s="536">
        <v>0</v>
      </c>
    </row>
    <row r="47" spans="1:10" ht="12.75">
      <c r="A47" s="3" t="s">
        <v>19</v>
      </c>
      <c r="B47" s="30"/>
      <c r="C47" s="30">
        <f>SUM(C12:C46)</f>
        <v>147</v>
      </c>
      <c r="D47" s="30">
        <f aca="true" t="shared" si="1" ref="D47:I47">SUM(D12:D46)</f>
        <v>5914</v>
      </c>
      <c r="E47" s="30">
        <f t="shared" si="1"/>
        <v>10955</v>
      </c>
      <c r="F47" s="30">
        <f t="shared" si="1"/>
        <v>1851082</v>
      </c>
      <c r="G47" s="30">
        <f t="shared" si="1"/>
        <v>160</v>
      </c>
      <c r="H47" s="30">
        <f t="shared" si="1"/>
        <v>958854</v>
      </c>
      <c r="I47" s="30">
        <f t="shared" si="1"/>
        <v>2175</v>
      </c>
      <c r="J47" s="536">
        <f>H47/D47</f>
        <v>162.13290497125465</v>
      </c>
    </row>
    <row r="48" spans="1:10" ht="12.75">
      <c r="A48" s="12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2.75">
      <c r="A49" s="12"/>
      <c r="B49" s="31"/>
      <c r="C49" s="31"/>
      <c r="D49" s="22"/>
      <c r="E49" s="22"/>
      <c r="F49" s="22"/>
      <c r="G49" s="22"/>
      <c r="H49" s="22"/>
      <c r="I49" s="22"/>
      <c r="J49" s="22"/>
    </row>
    <row r="50" spans="1:10" ht="12.75">
      <c r="A50" s="12"/>
      <c r="B50" s="31"/>
      <c r="C50" s="31"/>
      <c r="D50" s="22"/>
      <c r="E50" s="22"/>
      <c r="F50" s="22"/>
      <c r="G50" s="22"/>
      <c r="H50" s="22"/>
      <c r="I50" s="22"/>
      <c r="J50" s="22"/>
    </row>
    <row r="51" spans="1:10" ht="15.75" customHeight="1">
      <c r="A51" s="15" t="s">
        <v>12</v>
      </c>
      <c r="B51" s="15"/>
      <c r="C51" s="748" t="s">
        <v>1021</v>
      </c>
      <c r="D51" s="748"/>
      <c r="E51" s="748"/>
      <c r="F51" s="748"/>
      <c r="H51" s="748" t="s">
        <v>1024</v>
      </c>
      <c r="I51" s="748"/>
      <c r="J51" s="748"/>
    </row>
    <row r="52" spans="1:10" ht="12.75" customHeight="1">
      <c r="A52" s="83"/>
      <c r="B52" s="83"/>
      <c r="C52" s="748" t="s">
        <v>1022</v>
      </c>
      <c r="D52" s="748"/>
      <c r="E52" s="748"/>
      <c r="F52" s="748"/>
      <c r="H52" s="748" t="s">
        <v>1025</v>
      </c>
      <c r="I52" s="748"/>
      <c r="J52" s="748"/>
    </row>
    <row r="53" spans="1:10" ht="12.75" customHeight="1">
      <c r="A53" s="83"/>
      <c r="B53" s="83"/>
      <c r="C53" s="735" t="s">
        <v>1023</v>
      </c>
      <c r="D53" s="735"/>
      <c r="E53" s="735"/>
      <c r="F53" s="735"/>
      <c r="H53" s="735" t="s">
        <v>1023</v>
      </c>
      <c r="I53" s="735"/>
      <c r="J53" s="735"/>
    </row>
    <row r="54" spans="1:10" ht="12.75">
      <c r="A54" s="15"/>
      <c r="B54" s="15"/>
      <c r="C54" s="15"/>
      <c r="E54" s="15"/>
      <c r="H54" s="36"/>
      <c r="I54" s="36"/>
      <c r="J54" s="36"/>
    </row>
    <row r="58" spans="1:10" ht="12.75">
      <c r="A58" s="839"/>
      <c r="B58" s="839"/>
      <c r="C58" s="839"/>
      <c r="D58" s="839"/>
      <c r="E58" s="839"/>
      <c r="F58" s="839"/>
      <c r="G58" s="839"/>
      <c r="H58" s="839"/>
      <c r="I58" s="839"/>
      <c r="J58" s="839"/>
    </row>
    <row r="60" spans="1:10" ht="12.75">
      <c r="A60" s="839"/>
      <c r="B60" s="839"/>
      <c r="C60" s="839"/>
      <c r="D60" s="839"/>
      <c r="E60" s="839"/>
      <c r="F60" s="839"/>
      <c r="G60" s="839"/>
      <c r="H60" s="839"/>
      <c r="I60" s="839"/>
      <c r="J60" s="839"/>
    </row>
  </sheetData>
  <sheetProtection/>
  <mergeCells count="17">
    <mergeCell ref="A60:J60"/>
    <mergeCell ref="A9:A10"/>
    <mergeCell ref="B9:B10"/>
    <mergeCell ref="C9:F9"/>
    <mergeCell ref="G9:J9"/>
    <mergeCell ref="E1:I1"/>
    <mergeCell ref="A2:J2"/>
    <mergeCell ref="A3:J3"/>
    <mergeCell ref="A5:J5"/>
    <mergeCell ref="H8:J8"/>
    <mergeCell ref="A58:J58"/>
    <mergeCell ref="C51:F51"/>
    <mergeCell ref="H51:J51"/>
    <mergeCell ref="C52:F52"/>
    <mergeCell ref="H52:J52"/>
    <mergeCell ref="C53:F53"/>
    <mergeCell ref="H53:J53"/>
  </mergeCells>
  <printOptions horizontalCentered="1"/>
  <pageMargins left="0.7086614173228347" right="0.7086614173228347" top="0.2362204724409449" bottom="0" header="0.25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SheetLayoutView="90" zoomScalePageLayoutView="0" workbookViewId="0" topLeftCell="A40">
      <selection activeCell="A58" sqref="A58:J58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735"/>
      <c r="F1" s="735"/>
      <c r="G1" s="735"/>
      <c r="H1" s="735"/>
      <c r="I1" s="735"/>
      <c r="J1" s="134" t="s">
        <v>374</v>
      </c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</row>
    <row r="4" ht="14.25" customHeight="1"/>
    <row r="5" spans="1:10" ht="31.5" customHeight="1">
      <c r="A5" s="840" t="s">
        <v>671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6" t="s">
        <v>1005</v>
      </c>
      <c r="B8" s="36"/>
      <c r="C8" s="15"/>
      <c r="H8" s="804" t="s">
        <v>821</v>
      </c>
      <c r="I8" s="804"/>
      <c r="J8" s="804"/>
    </row>
    <row r="9" spans="1:12" ht="12.75">
      <c r="A9" s="709" t="s">
        <v>2</v>
      </c>
      <c r="B9" s="709" t="s">
        <v>3</v>
      </c>
      <c r="C9" s="694" t="s">
        <v>669</v>
      </c>
      <c r="D9" s="705"/>
      <c r="E9" s="705"/>
      <c r="F9" s="695"/>
      <c r="G9" s="694" t="s">
        <v>103</v>
      </c>
      <c r="H9" s="705"/>
      <c r="I9" s="705"/>
      <c r="J9" s="695"/>
      <c r="L9" s="22"/>
    </row>
    <row r="10" spans="1:10" ht="53.25" customHeight="1">
      <c r="A10" s="709"/>
      <c r="B10" s="709"/>
      <c r="C10" s="5" t="s">
        <v>186</v>
      </c>
      <c r="D10" s="5" t="s">
        <v>17</v>
      </c>
      <c r="E10" s="252" t="s">
        <v>376</v>
      </c>
      <c r="F10" s="7" t="s">
        <v>204</v>
      </c>
      <c r="G10" s="5" t="s">
        <v>186</v>
      </c>
      <c r="H10" s="26" t="s">
        <v>18</v>
      </c>
      <c r="I10" s="103" t="s">
        <v>113</v>
      </c>
      <c r="J10" s="5" t="s">
        <v>205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9">
        <v>1</v>
      </c>
      <c r="B12" s="328" t="s">
        <v>870</v>
      </c>
      <c r="C12" s="20">
        <v>0</v>
      </c>
      <c r="D12" s="20">
        <v>0</v>
      </c>
      <c r="E12" s="20">
        <v>0</v>
      </c>
      <c r="F12" s="102">
        <f>D12*E12</f>
        <v>0</v>
      </c>
      <c r="G12" s="20">
        <v>0</v>
      </c>
      <c r="H12" s="29">
        <v>0</v>
      </c>
      <c r="I12" s="29">
        <v>0</v>
      </c>
      <c r="J12" s="29">
        <v>0</v>
      </c>
    </row>
    <row r="13" spans="1:10" ht="12.75">
      <c r="A13" s="19">
        <v>2</v>
      </c>
      <c r="B13" s="328" t="s">
        <v>871</v>
      </c>
      <c r="C13" s="20">
        <v>0</v>
      </c>
      <c r="D13" s="20">
        <v>0</v>
      </c>
      <c r="E13" s="20">
        <v>0</v>
      </c>
      <c r="F13" s="102">
        <f aca="true" t="shared" si="0" ref="F13:F47">D13*E13</f>
        <v>0</v>
      </c>
      <c r="G13" s="20">
        <v>0</v>
      </c>
      <c r="H13" s="29">
        <v>0</v>
      </c>
      <c r="I13" s="29">
        <v>0</v>
      </c>
      <c r="J13" s="29">
        <v>0</v>
      </c>
    </row>
    <row r="14" spans="1:10" ht="12.75">
      <c r="A14" s="19">
        <v>3</v>
      </c>
      <c r="B14" s="328" t="s">
        <v>872</v>
      </c>
      <c r="C14" s="20">
        <v>0</v>
      </c>
      <c r="D14" s="20"/>
      <c r="E14" s="20">
        <v>0</v>
      </c>
      <c r="F14" s="102">
        <f t="shared" si="0"/>
        <v>0</v>
      </c>
      <c r="G14" s="20"/>
      <c r="H14" s="29"/>
      <c r="I14" s="29"/>
      <c r="J14" s="29">
        <v>0</v>
      </c>
    </row>
    <row r="15" spans="1:10" ht="12.75">
      <c r="A15" s="19">
        <v>4</v>
      </c>
      <c r="B15" s="328" t="s">
        <v>873</v>
      </c>
      <c r="C15" s="20">
        <v>0</v>
      </c>
      <c r="D15" s="20">
        <v>0</v>
      </c>
      <c r="E15" s="20">
        <v>0</v>
      </c>
      <c r="F15" s="102">
        <f t="shared" si="0"/>
        <v>0</v>
      </c>
      <c r="G15" s="20">
        <v>0</v>
      </c>
      <c r="H15" s="29">
        <v>0</v>
      </c>
      <c r="I15" s="29">
        <v>0</v>
      </c>
      <c r="J15" s="536">
        <v>0</v>
      </c>
    </row>
    <row r="16" spans="1:10" ht="12.75">
      <c r="A16" s="19">
        <v>5</v>
      </c>
      <c r="B16" s="328" t="s">
        <v>874</v>
      </c>
      <c r="C16" s="20">
        <v>0</v>
      </c>
      <c r="D16" s="20">
        <v>0</v>
      </c>
      <c r="E16" s="20">
        <v>0</v>
      </c>
      <c r="F16" s="102">
        <f t="shared" si="0"/>
        <v>0</v>
      </c>
      <c r="G16" s="20">
        <v>0</v>
      </c>
      <c r="H16" s="29">
        <v>0</v>
      </c>
      <c r="I16" s="29">
        <v>0</v>
      </c>
      <c r="J16" s="536">
        <v>0</v>
      </c>
    </row>
    <row r="17" spans="1:10" ht="12.75">
      <c r="A17" s="19">
        <v>6</v>
      </c>
      <c r="B17" s="328" t="s">
        <v>875</v>
      </c>
      <c r="C17" s="20">
        <v>0</v>
      </c>
      <c r="D17" s="20">
        <v>0</v>
      </c>
      <c r="E17" s="20">
        <v>0</v>
      </c>
      <c r="F17" s="102">
        <f t="shared" si="0"/>
        <v>0</v>
      </c>
      <c r="G17" s="20">
        <v>3</v>
      </c>
      <c r="H17" s="29">
        <v>1973</v>
      </c>
      <c r="I17" s="29">
        <v>35</v>
      </c>
      <c r="J17" s="536">
        <f>H17/I17</f>
        <v>56.371428571428574</v>
      </c>
    </row>
    <row r="18" spans="1:10" ht="12.75">
      <c r="A18" s="19">
        <v>7</v>
      </c>
      <c r="B18" s="328" t="s">
        <v>876</v>
      </c>
      <c r="C18" s="20">
        <v>0</v>
      </c>
      <c r="D18" s="20">
        <v>0</v>
      </c>
      <c r="E18" s="20">
        <v>0</v>
      </c>
      <c r="F18" s="102">
        <f t="shared" si="0"/>
        <v>0</v>
      </c>
      <c r="G18" s="20">
        <v>0</v>
      </c>
      <c r="H18" s="29">
        <v>0</v>
      </c>
      <c r="I18" s="29">
        <v>0</v>
      </c>
      <c r="J18" s="536">
        <v>0</v>
      </c>
    </row>
    <row r="19" spans="1:10" ht="12.75">
      <c r="A19" s="19">
        <v>8</v>
      </c>
      <c r="B19" s="328" t="s">
        <v>877</v>
      </c>
      <c r="C19" s="20">
        <v>0</v>
      </c>
      <c r="D19" s="20">
        <v>0</v>
      </c>
      <c r="E19" s="20">
        <v>0</v>
      </c>
      <c r="F19" s="102">
        <f t="shared" si="0"/>
        <v>0</v>
      </c>
      <c r="G19" s="20">
        <v>0</v>
      </c>
      <c r="H19" s="29">
        <v>0</v>
      </c>
      <c r="I19" s="29">
        <v>0</v>
      </c>
      <c r="J19" s="536">
        <v>0</v>
      </c>
    </row>
    <row r="20" spans="1:10" ht="12.75">
      <c r="A20" s="19">
        <v>9</v>
      </c>
      <c r="B20" s="328" t="s">
        <v>878</v>
      </c>
      <c r="C20" s="20">
        <v>0</v>
      </c>
      <c r="D20" s="20">
        <v>0</v>
      </c>
      <c r="E20" s="20">
        <v>0</v>
      </c>
      <c r="F20" s="102">
        <v>0</v>
      </c>
      <c r="G20" s="20">
        <v>47</v>
      </c>
      <c r="H20" s="29">
        <v>2044500</v>
      </c>
      <c r="I20" s="29">
        <v>47</v>
      </c>
      <c r="J20" s="536">
        <f>H20/I20</f>
        <v>43500</v>
      </c>
    </row>
    <row r="21" spans="1:10" ht="12.75">
      <c r="A21" s="19">
        <v>10</v>
      </c>
      <c r="B21" s="328" t="s">
        <v>879</v>
      </c>
      <c r="C21" s="20">
        <v>0</v>
      </c>
      <c r="D21" s="20"/>
      <c r="E21" s="20">
        <v>0</v>
      </c>
      <c r="F21" s="102">
        <f t="shared" si="0"/>
        <v>0</v>
      </c>
      <c r="G21" s="20"/>
      <c r="H21" s="29"/>
      <c r="I21" s="29"/>
      <c r="J21" s="536">
        <v>0</v>
      </c>
    </row>
    <row r="22" spans="1:10" ht="12.75">
      <c r="A22" s="19">
        <v>11</v>
      </c>
      <c r="B22" s="328" t="s">
        <v>880</v>
      </c>
      <c r="C22" s="20">
        <v>0</v>
      </c>
      <c r="D22" s="20">
        <v>0</v>
      </c>
      <c r="E22" s="20">
        <v>0</v>
      </c>
      <c r="F22" s="102">
        <f t="shared" si="0"/>
        <v>0</v>
      </c>
      <c r="G22" s="20">
        <v>0</v>
      </c>
      <c r="H22" s="29">
        <v>0</v>
      </c>
      <c r="I22" s="29">
        <v>0</v>
      </c>
      <c r="J22" s="536">
        <v>0</v>
      </c>
    </row>
    <row r="23" spans="1:10" ht="12.75">
      <c r="A23" s="19">
        <v>12</v>
      </c>
      <c r="B23" s="328" t="s">
        <v>881</v>
      </c>
      <c r="C23" s="20">
        <v>0</v>
      </c>
      <c r="D23" s="20">
        <v>0</v>
      </c>
      <c r="E23" s="20">
        <v>0</v>
      </c>
      <c r="F23" s="102">
        <f t="shared" si="0"/>
        <v>0</v>
      </c>
      <c r="G23" s="20">
        <v>0</v>
      </c>
      <c r="H23" s="29">
        <v>0</v>
      </c>
      <c r="I23" s="29">
        <v>0</v>
      </c>
      <c r="J23" s="536">
        <v>0</v>
      </c>
    </row>
    <row r="24" spans="1:10" ht="12.75">
      <c r="A24" s="19">
        <v>13</v>
      </c>
      <c r="B24" s="328" t="s">
        <v>882</v>
      </c>
      <c r="C24" s="20">
        <v>0</v>
      </c>
      <c r="D24" s="20"/>
      <c r="E24" s="20">
        <v>0</v>
      </c>
      <c r="F24" s="102">
        <f t="shared" si="0"/>
        <v>0</v>
      </c>
      <c r="G24" s="20"/>
      <c r="H24" s="29"/>
      <c r="I24" s="29"/>
      <c r="J24" s="536">
        <v>0</v>
      </c>
    </row>
    <row r="25" spans="1:10" ht="12.75">
      <c r="A25" s="19">
        <v>14</v>
      </c>
      <c r="B25" s="328" t="s">
        <v>883</v>
      </c>
      <c r="C25" s="20">
        <v>0</v>
      </c>
      <c r="D25" s="20">
        <v>0</v>
      </c>
      <c r="E25" s="20">
        <v>0</v>
      </c>
      <c r="F25" s="102">
        <f t="shared" si="0"/>
        <v>0</v>
      </c>
      <c r="G25" s="20">
        <v>0</v>
      </c>
      <c r="H25" s="29">
        <v>0</v>
      </c>
      <c r="I25" s="29">
        <v>0</v>
      </c>
      <c r="J25" s="536">
        <v>0</v>
      </c>
    </row>
    <row r="26" spans="1:10" ht="12.75">
      <c r="A26" s="19">
        <v>15</v>
      </c>
      <c r="B26" s="328" t="s">
        <v>884</v>
      </c>
      <c r="C26" s="20">
        <v>0</v>
      </c>
      <c r="D26" s="20">
        <v>0</v>
      </c>
      <c r="E26" s="20">
        <v>0</v>
      </c>
      <c r="F26" s="102">
        <f t="shared" si="0"/>
        <v>0</v>
      </c>
      <c r="G26" s="20">
        <v>0</v>
      </c>
      <c r="H26" s="29">
        <v>0</v>
      </c>
      <c r="I26" s="29">
        <v>0</v>
      </c>
      <c r="J26" s="536">
        <v>0</v>
      </c>
    </row>
    <row r="27" spans="1:10" ht="12.75">
      <c r="A27" s="19">
        <v>16</v>
      </c>
      <c r="B27" s="328" t="s">
        <v>885</v>
      </c>
      <c r="C27" s="20">
        <v>0</v>
      </c>
      <c r="D27" s="20">
        <v>0</v>
      </c>
      <c r="E27" s="20">
        <v>0</v>
      </c>
      <c r="F27" s="102">
        <f t="shared" si="0"/>
        <v>0</v>
      </c>
      <c r="G27" s="20">
        <v>0</v>
      </c>
      <c r="H27" s="29">
        <v>0</v>
      </c>
      <c r="I27" s="29">
        <v>0</v>
      </c>
      <c r="J27" s="536">
        <v>0</v>
      </c>
    </row>
    <row r="28" spans="1:10" ht="12.75">
      <c r="A28" s="19">
        <v>17</v>
      </c>
      <c r="B28" s="328" t="s">
        <v>886</v>
      </c>
      <c r="C28" s="20">
        <v>0</v>
      </c>
      <c r="D28" s="20">
        <v>0</v>
      </c>
      <c r="E28" s="20">
        <v>0</v>
      </c>
      <c r="F28" s="102">
        <f t="shared" si="0"/>
        <v>0</v>
      </c>
      <c r="G28" s="20">
        <v>0</v>
      </c>
      <c r="H28" s="29">
        <v>0</v>
      </c>
      <c r="I28" s="29">
        <v>0</v>
      </c>
      <c r="J28" s="536">
        <v>0</v>
      </c>
    </row>
    <row r="29" spans="1:10" ht="12.75">
      <c r="A29" s="19">
        <v>18</v>
      </c>
      <c r="B29" s="328" t="s">
        <v>887</v>
      </c>
      <c r="C29" s="20">
        <v>0</v>
      </c>
      <c r="D29" s="20">
        <v>0</v>
      </c>
      <c r="E29" s="20">
        <v>0</v>
      </c>
      <c r="F29" s="102">
        <f t="shared" si="0"/>
        <v>0</v>
      </c>
      <c r="G29" s="20">
        <v>0</v>
      </c>
      <c r="H29" s="29">
        <v>0</v>
      </c>
      <c r="I29" s="29">
        <v>0</v>
      </c>
      <c r="J29" s="536">
        <v>0</v>
      </c>
    </row>
    <row r="30" spans="1:10" ht="12.75">
      <c r="A30" s="19">
        <v>19</v>
      </c>
      <c r="B30" s="328" t="s">
        <v>888</v>
      </c>
      <c r="C30" s="20">
        <v>0</v>
      </c>
      <c r="D30" s="20">
        <v>0</v>
      </c>
      <c r="E30" s="20">
        <v>0</v>
      </c>
      <c r="F30" s="102">
        <f t="shared" si="0"/>
        <v>0</v>
      </c>
      <c r="G30" s="20">
        <v>0</v>
      </c>
      <c r="H30" s="29">
        <v>0</v>
      </c>
      <c r="I30" s="29">
        <v>0</v>
      </c>
      <c r="J30" s="536">
        <v>0</v>
      </c>
    </row>
    <row r="31" spans="1:10" ht="12.75">
      <c r="A31" s="19">
        <v>20</v>
      </c>
      <c r="B31" s="328" t="s">
        <v>889</v>
      </c>
      <c r="C31" s="20">
        <v>0</v>
      </c>
      <c r="D31" s="20">
        <v>0</v>
      </c>
      <c r="E31" s="20">
        <v>0</v>
      </c>
      <c r="F31" s="102">
        <f t="shared" si="0"/>
        <v>0</v>
      </c>
      <c r="G31" s="20">
        <v>58</v>
      </c>
      <c r="H31" s="29">
        <v>35619</v>
      </c>
      <c r="I31" s="29">
        <v>35</v>
      </c>
      <c r="J31" s="536">
        <f>H31/I31</f>
        <v>1017.6857142857143</v>
      </c>
    </row>
    <row r="32" spans="1:10" ht="12.75">
      <c r="A32" s="19">
        <v>21</v>
      </c>
      <c r="B32" s="328" t="s">
        <v>890</v>
      </c>
      <c r="C32" s="20">
        <v>0</v>
      </c>
      <c r="D32" s="20">
        <v>0</v>
      </c>
      <c r="E32" s="20">
        <v>0</v>
      </c>
      <c r="F32" s="102">
        <f t="shared" si="0"/>
        <v>0</v>
      </c>
      <c r="G32" s="20">
        <v>0</v>
      </c>
      <c r="H32" s="29">
        <v>0</v>
      </c>
      <c r="I32" s="29">
        <v>0</v>
      </c>
      <c r="J32" s="536">
        <v>0</v>
      </c>
    </row>
    <row r="33" spans="1:10" ht="12.75">
      <c r="A33" s="19">
        <v>22</v>
      </c>
      <c r="B33" s="328" t="s">
        <v>891</v>
      </c>
      <c r="C33" s="20">
        <v>0</v>
      </c>
      <c r="D33" s="20">
        <v>0</v>
      </c>
      <c r="E33" s="20">
        <v>0</v>
      </c>
      <c r="F33" s="102">
        <f t="shared" si="0"/>
        <v>0</v>
      </c>
      <c r="G33" s="20">
        <v>0</v>
      </c>
      <c r="H33" s="29">
        <v>0</v>
      </c>
      <c r="I33" s="29">
        <v>0</v>
      </c>
      <c r="J33" s="536">
        <v>0</v>
      </c>
    </row>
    <row r="34" spans="1:10" ht="12.75">
      <c r="A34" s="19">
        <v>23</v>
      </c>
      <c r="B34" s="328" t="s">
        <v>892</v>
      </c>
      <c r="C34" s="20">
        <v>0</v>
      </c>
      <c r="D34" s="20">
        <v>0</v>
      </c>
      <c r="E34" s="20">
        <v>0</v>
      </c>
      <c r="F34" s="102">
        <f t="shared" si="0"/>
        <v>0</v>
      </c>
      <c r="G34" s="20">
        <v>0</v>
      </c>
      <c r="H34" s="29">
        <v>0</v>
      </c>
      <c r="I34" s="29">
        <v>0</v>
      </c>
      <c r="J34" s="536">
        <v>0</v>
      </c>
    </row>
    <row r="35" spans="1:10" ht="12.75">
      <c r="A35" s="19">
        <v>24</v>
      </c>
      <c r="B35" s="328" t="s">
        <v>893</v>
      </c>
      <c r="C35" s="20">
        <v>0</v>
      </c>
      <c r="D35" s="20">
        <v>0</v>
      </c>
      <c r="E35" s="20">
        <v>0</v>
      </c>
      <c r="F35" s="102">
        <f t="shared" si="0"/>
        <v>0</v>
      </c>
      <c r="G35" s="20">
        <v>0</v>
      </c>
      <c r="H35" s="29">
        <v>0</v>
      </c>
      <c r="I35" s="29">
        <v>0</v>
      </c>
      <c r="J35" s="536">
        <v>0</v>
      </c>
    </row>
    <row r="36" spans="1:10" ht="12.75">
      <c r="A36" s="19">
        <v>25</v>
      </c>
      <c r="B36" s="328" t="s">
        <v>894</v>
      </c>
      <c r="C36" s="20">
        <v>0</v>
      </c>
      <c r="D36" s="20">
        <v>0</v>
      </c>
      <c r="E36" s="20">
        <v>0</v>
      </c>
      <c r="F36" s="102">
        <f t="shared" si="0"/>
        <v>0</v>
      </c>
      <c r="G36" s="20">
        <v>0</v>
      </c>
      <c r="H36" s="29">
        <v>0</v>
      </c>
      <c r="I36" s="29">
        <v>0</v>
      </c>
      <c r="J36" s="536">
        <v>0</v>
      </c>
    </row>
    <row r="37" spans="1:10" ht="12.75">
      <c r="A37" s="19">
        <v>26</v>
      </c>
      <c r="B37" s="328" t="s">
        <v>895</v>
      </c>
      <c r="C37" s="20">
        <v>0</v>
      </c>
      <c r="D37" s="20">
        <v>0</v>
      </c>
      <c r="E37" s="20">
        <v>0</v>
      </c>
      <c r="F37" s="102">
        <f t="shared" si="0"/>
        <v>0</v>
      </c>
      <c r="G37" s="20">
        <v>0</v>
      </c>
      <c r="H37" s="29">
        <v>0</v>
      </c>
      <c r="I37" s="29">
        <v>0</v>
      </c>
      <c r="J37" s="536">
        <v>0</v>
      </c>
    </row>
    <row r="38" spans="1:10" ht="12.75">
      <c r="A38" s="19">
        <v>27</v>
      </c>
      <c r="B38" s="328" t="s">
        <v>896</v>
      </c>
      <c r="C38" s="20">
        <v>0</v>
      </c>
      <c r="D38" s="20">
        <v>0</v>
      </c>
      <c r="E38" s="20">
        <v>0</v>
      </c>
      <c r="F38" s="102">
        <f t="shared" si="0"/>
        <v>0</v>
      </c>
      <c r="G38" s="20">
        <v>2</v>
      </c>
      <c r="H38" s="29">
        <v>899</v>
      </c>
      <c r="I38" s="29">
        <v>36</v>
      </c>
      <c r="J38" s="536">
        <f>H38/I38</f>
        <v>24.97222222222222</v>
      </c>
    </row>
    <row r="39" spans="1:10" ht="12.75">
      <c r="A39" s="19">
        <v>28</v>
      </c>
      <c r="B39" s="328" t="s">
        <v>897</v>
      </c>
      <c r="C39" s="20">
        <v>0</v>
      </c>
      <c r="D39" s="20">
        <v>0</v>
      </c>
      <c r="E39" s="20">
        <v>0</v>
      </c>
      <c r="F39" s="102">
        <f t="shared" si="0"/>
        <v>0</v>
      </c>
      <c r="G39" s="20">
        <v>0</v>
      </c>
      <c r="H39" s="29">
        <v>0</v>
      </c>
      <c r="I39" s="29">
        <v>0</v>
      </c>
      <c r="J39" s="536">
        <v>0</v>
      </c>
    </row>
    <row r="40" spans="1:10" ht="12.75">
      <c r="A40" s="19">
        <v>29</v>
      </c>
      <c r="B40" s="328" t="s">
        <v>898</v>
      </c>
      <c r="C40" s="20">
        <v>0</v>
      </c>
      <c r="D40" s="20">
        <v>0</v>
      </c>
      <c r="E40" s="20">
        <v>0</v>
      </c>
      <c r="F40" s="102">
        <f t="shared" si="0"/>
        <v>0</v>
      </c>
      <c r="G40" s="20">
        <v>0</v>
      </c>
      <c r="H40" s="29">
        <v>0</v>
      </c>
      <c r="I40" s="29">
        <v>0</v>
      </c>
      <c r="J40" s="536">
        <v>0</v>
      </c>
    </row>
    <row r="41" spans="1:10" ht="12.75">
      <c r="A41" s="19">
        <v>30</v>
      </c>
      <c r="B41" s="328" t="s">
        <v>899</v>
      </c>
      <c r="C41" s="20"/>
      <c r="D41" s="20"/>
      <c r="E41" s="20">
        <v>0</v>
      </c>
      <c r="F41" s="102">
        <f t="shared" si="0"/>
        <v>0</v>
      </c>
      <c r="G41" s="20"/>
      <c r="H41" s="29"/>
      <c r="I41" s="29"/>
      <c r="J41" s="536">
        <v>0</v>
      </c>
    </row>
    <row r="42" spans="1:10" ht="12.75">
      <c r="A42" s="19">
        <v>31</v>
      </c>
      <c r="B42" s="328" t="s">
        <v>900</v>
      </c>
      <c r="C42" s="20">
        <v>0</v>
      </c>
      <c r="D42" s="20">
        <v>0</v>
      </c>
      <c r="E42" s="20">
        <v>0</v>
      </c>
      <c r="F42" s="102">
        <f t="shared" si="0"/>
        <v>0</v>
      </c>
      <c r="G42" s="20">
        <v>0</v>
      </c>
      <c r="H42" s="29">
        <v>0</v>
      </c>
      <c r="I42" s="29">
        <v>0</v>
      </c>
      <c r="J42" s="536">
        <v>0</v>
      </c>
    </row>
    <row r="43" spans="1:10" ht="12.75">
      <c r="A43" s="19">
        <v>32</v>
      </c>
      <c r="B43" s="328" t="s">
        <v>901</v>
      </c>
      <c r="C43" s="20">
        <v>0</v>
      </c>
      <c r="D43" s="20">
        <v>0</v>
      </c>
      <c r="E43" s="20">
        <v>0</v>
      </c>
      <c r="F43" s="102">
        <f t="shared" si="0"/>
        <v>0</v>
      </c>
      <c r="G43" s="20">
        <v>0</v>
      </c>
      <c r="H43" s="29">
        <v>0</v>
      </c>
      <c r="I43" s="29">
        <v>0</v>
      </c>
      <c r="J43" s="536">
        <v>0</v>
      </c>
    </row>
    <row r="44" spans="1:10" ht="12.75">
      <c r="A44" s="19">
        <v>33</v>
      </c>
      <c r="B44" s="328" t="s">
        <v>902</v>
      </c>
      <c r="C44" s="20">
        <v>0</v>
      </c>
      <c r="D44" s="20">
        <v>0</v>
      </c>
      <c r="E44" s="20">
        <v>0</v>
      </c>
      <c r="F44" s="102">
        <f t="shared" si="0"/>
        <v>0</v>
      </c>
      <c r="G44" s="20">
        <v>0</v>
      </c>
      <c r="H44" s="29">
        <v>0</v>
      </c>
      <c r="I44" s="29">
        <v>0</v>
      </c>
      <c r="J44" s="536">
        <v>0</v>
      </c>
    </row>
    <row r="45" spans="1:10" ht="12.75">
      <c r="A45" s="19">
        <v>34</v>
      </c>
      <c r="B45" s="328" t="s">
        <v>903</v>
      </c>
      <c r="C45" s="20">
        <v>0</v>
      </c>
      <c r="D45" s="20">
        <v>0</v>
      </c>
      <c r="E45" s="20">
        <v>0</v>
      </c>
      <c r="F45" s="102">
        <f t="shared" si="0"/>
        <v>0</v>
      </c>
      <c r="G45" s="20">
        <v>0</v>
      </c>
      <c r="H45" s="29">
        <v>0</v>
      </c>
      <c r="I45" s="29">
        <v>0</v>
      </c>
      <c r="J45" s="536">
        <v>0</v>
      </c>
    </row>
    <row r="46" spans="1:10" ht="12.75">
      <c r="A46" s="19">
        <v>35</v>
      </c>
      <c r="B46" s="328" t="s">
        <v>904</v>
      </c>
      <c r="C46" s="20">
        <v>0</v>
      </c>
      <c r="D46" s="20">
        <v>0</v>
      </c>
      <c r="E46" s="20">
        <v>0</v>
      </c>
      <c r="F46" s="102">
        <f t="shared" si="0"/>
        <v>0</v>
      </c>
      <c r="G46" s="20">
        <v>0</v>
      </c>
      <c r="H46" s="29">
        <v>0</v>
      </c>
      <c r="I46" s="29">
        <v>0</v>
      </c>
      <c r="J46" s="536">
        <v>0</v>
      </c>
    </row>
    <row r="47" spans="1:10" ht="12.75">
      <c r="A47" s="3" t="s">
        <v>19</v>
      </c>
      <c r="B47" s="30"/>
      <c r="C47" s="30"/>
      <c r="D47" s="20"/>
      <c r="E47" s="20">
        <v>36</v>
      </c>
      <c r="F47" s="102">
        <f t="shared" si="0"/>
        <v>0</v>
      </c>
      <c r="G47" s="20">
        <f>SUM(G12:G46)</f>
        <v>110</v>
      </c>
      <c r="H47" s="20">
        <f>SUM(H12:H46)</f>
        <v>2082991</v>
      </c>
      <c r="I47" s="20">
        <f>SUM(I12:I46)</f>
        <v>153</v>
      </c>
      <c r="J47" s="537">
        <f>SUM(J12:J46)</f>
        <v>44599.02936507936</v>
      </c>
    </row>
    <row r="48" spans="1:10" ht="12.75">
      <c r="A48" s="12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2.75">
      <c r="A49" s="12"/>
      <c r="B49" s="31"/>
      <c r="C49" s="31"/>
      <c r="D49" s="22"/>
      <c r="E49" s="22"/>
      <c r="F49" s="22"/>
      <c r="G49" s="22"/>
      <c r="H49" s="22"/>
      <c r="I49" s="22"/>
      <c r="J49" s="22"/>
    </row>
    <row r="50" spans="1:10" ht="12.75">
      <c r="A50" s="12"/>
      <c r="B50" s="31"/>
      <c r="C50" s="31"/>
      <c r="D50" s="22"/>
      <c r="E50" s="22"/>
      <c r="F50" s="22"/>
      <c r="G50" s="22"/>
      <c r="H50" s="22"/>
      <c r="I50" s="22"/>
      <c r="J50" s="22"/>
    </row>
    <row r="51" spans="1:10" ht="15.75" customHeight="1">
      <c r="A51" s="15" t="s">
        <v>12</v>
      </c>
      <c r="B51" s="15"/>
      <c r="C51" s="748" t="s">
        <v>1021</v>
      </c>
      <c r="D51" s="748"/>
      <c r="E51" s="748"/>
      <c r="F51" s="748"/>
      <c r="H51" s="748" t="s">
        <v>1024</v>
      </c>
      <c r="I51" s="748"/>
      <c r="J51" s="748"/>
    </row>
    <row r="52" spans="1:10" ht="12.75" customHeight="1">
      <c r="A52" s="83"/>
      <c r="B52" s="83"/>
      <c r="C52" s="748" t="s">
        <v>1022</v>
      </c>
      <c r="D52" s="748"/>
      <c r="E52" s="748"/>
      <c r="F52" s="748"/>
      <c r="H52" s="748" t="s">
        <v>1025</v>
      </c>
      <c r="I52" s="748"/>
      <c r="J52" s="748"/>
    </row>
    <row r="53" spans="1:10" ht="12.75" customHeight="1">
      <c r="A53" s="83"/>
      <c r="B53" s="83"/>
      <c r="C53" s="735" t="s">
        <v>1023</v>
      </c>
      <c r="D53" s="735"/>
      <c r="E53" s="735"/>
      <c r="F53" s="735"/>
      <c r="H53" s="735" t="s">
        <v>1023</v>
      </c>
      <c r="I53" s="735"/>
      <c r="J53" s="735"/>
    </row>
    <row r="54" spans="1:10" ht="12.75">
      <c r="A54" s="15"/>
      <c r="B54" s="15"/>
      <c r="C54" s="15"/>
      <c r="E54" s="15"/>
      <c r="H54" s="36"/>
      <c r="I54" s="36"/>
      <c r="J54" s="36"/>
    </row>
    <row r="58" spans="1:10" ht="12.75">
      <c r="A58" s="839"/>
      <c r="B58" s="839"/>
      <c r="C58" s="839"/>
      <c r="D58" s="839"/>
      <c r="E58" s="839"/>
      <c r="F58" s="839"/>
      <c r="G58" s="839"/>
      <c r="H58" s="839"/>
      <c r="I58" s="839"/>
      <c r="J58" s="839"/>
    </row>
    <row r="60" spans="1:10" ht="12.75">
      <c r="A60" s="839"/>
      <c r="B60" s="839"/>
      <c r="C60" s="839"/>
      <c r="D60" s="839"/>
      <c r="E60" s="839"/>
      <c r="F60" s="839"/>
      <c r="G60" s="839"/>
      <c r="H60" s="839"/>
      <c r="I60" s="839"/>
      <c r="J60" s="839"/>
    </row>
  </sheetData>
  <sheetProtection/>
  <mergeCells count="17">
    <mergeCell ref="E1:I1"/>
    <mergeCell ref="A2:J2"/>
    <mergeCell ref="A3:J3"/>
    <mergeCell ref="A5:J5"/>
    <mergeCell ref="H8:J8"/>
    <mergeCell ref="A58:J58"/>
    <mergeCell ref="H53:J53"/>
    <mergeCell ref="A60:J60"/>
    <mergeCell ref="A9:A10"/>
    <mergeCell ref="B9:B10"/>
    <mergeCell ref="C9:F9"/>
    <mergeCell ref="G9:J9"/>
    <mergeCell ref="C51:F51"/>
    <mergeCell ref="H51:J51"/>
    <mergeCell ref="C52:F52"/>
    <mergeCell ref="H52:J52"/>
    <mergeCell ref="C53:F53"/>
  </mergeCells>
  <printOptions horizontalCentered="1"/>
  <pageMargins left="0.7086614173228347" right="0.7086614173228347" top="0.2362204724409449" bottom="0" header="0.24" footer="0.31496062992125984"/>
  <pageSetup fitToHeight="1" fitToWidth="1"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view="pageBreakPreview" zoomScale="78" zoomScaleNormal="112" zoomScaleSheetLayoutView="78" zoomScalePageLayoutView="0" workbookViewId="0" topLeftCell="A1">
      <selection activeCell="C50" sqref="C50:J52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1.00390625" style="16" customWidth="1"/>
    <col min="4" max="4" width="10.00390625" style="16" customWidth="1"/>
    <col min="5" max="5" width="13.140625" style="16" customWidth="1"/>
    <col min="6" max="6" width="14.28125" style="16" customWidth="1"/>
    <col min="7" max="7" width="13.28125" style="16" customWidth="1"/>
    <col min="8" max="8" width="14.7109375" style="16" customWidth="1"/>
    <col min="9" max="9" width="16.7109375" style="16" customWidth="1"/>
    <col min="10" max="10" width="19.28125" style="16" customWidth="1"/>
    <col min="11" max="16384" width="9.140625" style="16" customWidth="1"/>
  </cols>
  <sheetData>
    <row r="1" spans="5:10" ht="12.75">
      <c r="E1" s="735"/>
      <c r="F1" s="735"/>
      <c r="G1" s="735"/>
      <c r="H1" s="735"/>
      <c r="I1" s="735"/>
      <c r="J1" s="134" t="s">
        <v>446</v>
      </c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</row>
    <row r="4" ht="14.25" customHeight="1"/>
    <row r="5" spans="1:10" ht="31.5" customHeight="1">
      <c r="A5" s="840" t="s">
        <v>672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0" ht="13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ht="0.75" customHeight="1"/>
    <row r="8" spans="1:10" ht="12.75">
      <c r="A8" s="36" t="s">
        <v>1005</v>
      </c>
      <c r="B8" s="36"/>
      <c r="C8" s="15"/>
      <c r="H8" s="804" t="s">
        <v>821</v>
      </c>
      <c r="I8" s="804"/>
      <c r="J8" s="804"/>
    </row>
    <row r="9" spans="1:14" ht="12.75">
      <c r="A9" s="709" t="s">
        <v>2</v>
      </c>
      <c r="B9" s="709" t="s">
        <v>3</v>
      </c>
      <c r="C9" s="694" t="s">
        <v>669</v>
      </c>
      <c r="D9" s="705"/>
      <c r="E9" s="705"/>
      <c r="F9" s="695"/>
      <c r="G9" s="694" t="s">
        <v>103</v>
      </c>
      <c r="H9" s="705"/>
      <c r="I9" s="705"/>
      <c r="J9" s="695"/>
      <c r="N9" s="22"/>
    </row>
    <row r="10" spans="1:10" ht="53.25" customHeight="1">
      <c r="A10" s="709"/>
      <c r="B10" s="709"/>
      <c r="C10" s="5" t="s">
        <v>186</v>
      </c>
      <c r="D10" s="5" t="s">
        <v>17</v>
      </c>
      <c r="E10" s="252" t="s">
        <v>377</v>
      </c>
      <c r="F10" s="7" t="s">
        <v>204</v>
      </c>
      <c r="G10" s="5" t="s">
        <v>186</v>
      </c>
      <c r="H10" s="26" t="s">
        <v>18</v>
      </c>
      <c r="I10" s="103" t="s">
        <v>113</v>
      </c>
      <c r="J10" s="5" t="s">
        <v>205</v>
      </c>
    </row>
    <row r="11" spans="1:10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7">
        <v>6</v>
      </c>
      <c r="G11" s="5">
        <v>7</v>
      </c>
      <c r="H11" s="100">
        <v>8</v>
      </c>
      <c r="I11" s="5">
        <v>9</v>
      </c>
      <c r="J11" s="5">
        <v>10</v>
      </c>
    </row>
    <row r="12" spans="1:10" ht="12.75">
      <c r="A12" s="19">
        <v>1</v>
      </c>
      <c r="B12" s="328" t="s">
        <v>870</v>
      </c>
      <c r="C12" s="20">
        <v>0</v>
      </c>
      <c r="D12" s="20">
        <v>0</v>
      </c>
      <c r="E12" s="20">
        <v>0</v>
      </c>
      <c r="F12" s="102">
        <f>D12*E12</f>
        <v>0</v>
      </c>
      <c r="G12" s="20">
        <v>0</v>
      </c>
      <c r="H12" s="29">
        <v>0</v>
      </c>
      <c r="I12" s="29">
        <v>0</v>
      </c>
      <c r="J12" s="397">
        <v>0</v>
      </c>
    </row>
    <row r="13" spans="1:10" ht="12.75">
      <c r="A13" s="19">
        <v>2</v>
      </c>
      <c r="B13" s="328" t="s">
        <v>871</v>
      </c>
      <c r="C13" s="20">
        <v>0</v>
      </c>
      <c r="D13" s="20">
        <v>0</v>
      </c>
      <c r="E13" s="20">
        <v>0</v>
      </c>
      <c r="F13" s="102">
        <f aca="true" t="shared" si="0" ref="F13:F47">D13*E13</f>
        <v>0</v>
      </c>
      <c r="G13" s="20">
        <v>0</v>
      </c>
      <c r="H13" s="29">
        <v>0</v>
      </c>
      <c r="I13" s="29">
        <v>0</v>
      </c>
      <c r="J13" s="397">
        <v>0</v>
      </c>
    </row>
    <row r="14" spans="1:10" ht="12.75">
      <c r="A14" s="19">
        <v>3</v>
      </c>
      <c r="B14" s="328" t="s">
        <v>872</v>
      </c>
      <c r="C14" s="20">
        <v>0</v>
      </c>
      <c r="D14" s="20">
        <v>0</v>
      </c>
      <c r="E14" s="20">
        <v>0</v>
      </c>
      <c r="F14" s="102">
        <f t="shared" si="0"/>
        <v>0</v>
      </c>
      <c r="G14" s="20"/>
      <c r="H14" s="29"/>
      <c r="I14" s="29"/>
      <c r="J14" s="538">
        <v>0</v>
      </c>
    </row>
    <row r="15" spans="1:10" ht="12.75">
      <c r="A15" s="19">
        <v>4</v>
      </c>
      <c r="B15" s="328" t="s">
        <v>873</v>
      </c>
      <c r="C15" s="20">
        <v>0</v>
      </c>
      <c r="D15" s="20">
        <v>0</v>
      </c>
      <c r="E15" s="20">
        <v>0</v>
      </c>
      <c r="F15" s="102">
        <f t="shared" si="0"/>
        <v>0</v>
      </c>
      <c r="G15" s="20">
        <v>0</v>
      </c>
      <c r="H15" s="29">
        <v>0</v>
      </c>
      <c r="I15" s="29">
        <v>0</v>
      </c>
      <c r="J15" s="538">
        <v>0</v>
      </c>
    </row>
    <row r="16" spans="1:10" ht="12.75">
      <c r="A16" s="19">
        <v>5</v>
      </c>
      <c r="B16" s="328" t="s">
        <v>874</v>
      </c>
      <c r="C16" s="20">
        <v>0</v>
      </c>
      <c r="D16" s="20">
        <v>0</v>
      </c>
      <c r="E16" s="20">
        <v>0</v>
      </c>
      <c r="F16" s="102">
        <f t="shared" si="0"/>
        <v>0</v>
      </c>
      <c r="G16" s="20">
        <v>0</v>
      </c>
      <c r="H16" s="29">
        <v>0</v>
      </c>
      <c r="I16" s="29">
        <v>0</v>
      </c>
      <c r="J16" s="538">
        <v>0</v>
      </c>
    </row>
    <row r="17" spans="1:10" ht="12.75">
      <c r="A17" s="19">
        <v>6</v>
      </c>
      <c r="B17" s="328" t="s">
        <v>875</v>
      </c>
      <c r="C17" s="20">
        <v>0</v>
      </c>
      <c r="D17" s="20">
        <v>0</v>
      </c>
      <c r="E17" s="20">
        <v>0</v>
      </c>
      <c r="F17" s="102">
        <f t="shared" si="0"/>
        <v>0</v>
      </c>
      <c r="G17" s="20">
        <v>2</v>
      </c>
      <c r="H17" s="29">
        <v>1401</v>
      </c>
      <c r="I17" s="29">
        <v>35</v>
      </c>
      <c r="J17" s="538">
        <f>H17/I17</f>
        <v>40.02857142857143</v>
      </c>
    </row>
    <row r="18" spans="1:10" ht="12.75">
      <c r="A18" s="19">
        <v>7</v>
      </c>
      <c r="B18" s="328" t="s">
        <v>876</v>
      </c>
      <c r="C18" s="20">
        <v>0</v>
      </c>
      <c r="D18" s="20">
        <v>0</v>
      </c>
      <c r="E18" s="20">
        <v>0</v>
      </c>
      <c r="F18" s="102">
        <f t="shared" si="0"/>
        <v>0</v>
      </c>
      <c r="G18" s="20">
        <v>0</v>
      </c>
      <c r="H18" s="29">
        <v>0</v>
      </c>
      <c r="I18" s="29">
        <v>0</v>
      </c>
      <c r="J18" s="538">
        <v>0</v>
      </c>
    </row>
    <row r="19" spans="1:10" ht="12.75">
      <c r="A19" s="19">
        <v>8</v>
      </c>
      <c r="B19" s="328" t="s">
        <v>877</v>
      </c>
      <c r="C19" s="20">
        <v>0</v>
      </c>
      <c r="D19" s="20">
        <v>0</v>
      </c>
      <c r="E19" s="20">
        <v>0</v>
      </c>
      <c r="F19" s="102">
        <f t="shared" si="0"/>
        <v>0</v>
      </c>
      <c r="G19" s="20">
        <v>0</v>
      </c>
      <c r="H19" s="29">
        <v>0</v>
      </c>
      <c r="I19" s="29">
        <v>0</v>
      </c>
      <c r="J19" s="538">
        <v>0</v>
      </c>
    </row>
    <row r="20" spans="1:10" ht="12.75">
      <c r="A20" s="19">
        <v>9</v>
      </c>
      <c r="B20" s="328" t="s">
        <v>878</v>
      </c>
      <c r="C20" s="20">
        <v>0</v>
      </c>
      <c r="D20" s="20">
        <v>0</v>
      </c>
      <c r="E20" s="20">
        <v>0</v>
      </c>
      <c r="F20" s="102">
        <f t="shared" si="0"/>
        <v>0</v>
      </c>
      <c r="G20" s="20">
        <v>315</v>
      </c>
      <c r="H20" s="29">
        <v>42845</v>
      </c>
      <c r="I20" s="29">
        <v>47</v>
      </c>
      <c r="J20" s="538">
        <f>H20/I20</f>
        <v>911.5957446808511</v>
      </c>
    </row>
    <row r="21" spans="1:10" ht="12.75">
      <c r="A21" s="19">
        <v>10</v>
      </c>
      <c r="B21" s="328" t="s">
        <v>879</v>
      </c>
      <c r="C21" s="20">
        <v>0</v>
      </c>
      <c r="D21" s="20">
        <v>0</v>
      </c>
      <c r="E21" s="20">
        <v>0</v>
      </c>
      <c r="F21" s="102">
        <f t="shared" si="0"/>
        <v>0</v>
      </c>
      <c r="G21" s="20"/>
      <c r="H21" s="29"/>
      <c r="I21" s="29"/>
      <c r="J21" s="538">
        <v>0</v>
      </c>
    </row>
    <row r="22" spans="1:10" ht="12.75">
      <c r="A22" s="19">
        <v>11</v>
      </c>
      <c r="B22" s="328" t="s">
        <v>880</v>
      </c>
      <c r="C22" s="20">
        <v>0</v>
      </c>
      <c r="D22" s="20">
        <v>0</v>
      </c>
      <c r="E22" s="20">
        <v>0</v>
      </c>
      <c r="F22" s="102">
        <f t="shared" si="0"/>
        <v>0</v>
      </c>
      <c r="G22" s="20">
        <v>0</v>
      </c>
      <c r="H22" s="29">
        <v>0</v>
      </c>
      <c r="I22" s="29">
        <v>0</v>
      </c>
      <c r="J22" s="538">
        <v>0</v>
      </c>
    </row>
    <row r="23" spans="1:10" ht="12.75">
      <c r="A23" s="19">
        <v>12</v>
      </c>
      <c r="B23" s="328" t="s">
        <v>881</v>
      </c>
      <c r="C23" s="20">
        <v>0</v>
      </c>
      <c r="D23" s="20">
        <v>0</v>
      </c>
      <c r="E23" s="20">
        <v>0</v>
      </c>
      <c r="F23" s="102">
        <f t="shared" si="0"/>
        <v>0</v>
      </c>
      <c r="G23" s="20">
        <v>0</v>
      </c>
      <c r="H23" s="29">
        <v>0</v>
      </c>
      <c r="I23" s="29">
        <v>0</v>
      </c>
      <c r="J23" s="538">
        <v>0</v>
      </c>
    </row>
    <row r="24" spans="1:10" ht="12.75">
      <c r="A24" s="19">
        <v>13</v>
      </c>
      <c r="B24" s="328" t="s">
        <v>882</v>
      </c>
      <c r="C24" s="20">
        <v>0</v>
      </c>
      <c r="D24" s="20">
        <v>0</v>
      </c>
      <c r="E24" s="20">
        <v>0</v>
      </c>
      <c r="F24" s="102">
        <f t="shared" si="0"/>
        <v>0</v>
      </c>
      <c r="G24" s="20"/>
      <c r="H24" s="29"/>
      <c r="I24" s="29"/>
      <c r="J24" s="538">
        <v>0</v>
      </c>
    </row>
    <row r="25" spans="1:10" ht="12.75">
      <c r="A25" s="19">
        <v>14</v>
      </c>
      <c r="B25" s="328" t="s">
        <v>883</v>
      </c>
      <c r="C25" s="20">
        <v>0</v>
      </c>
      <c r="D25" s="20">
        <v>0</v>
      </c>
      <c r="E25" s="20">
        <v>0</v>
      </c>
      <c r="F25" s="102">
        <f t="shared" si="0"/>
        <v>0</v>
      </c>
      <c r="G25" s="20">
        <v>0</v>
      </c>
      <c r="H25" s="29">
        <v>0</v>
      </c>
      <c r="I25" s="29">
        <v>0</v>
      </c>
      <c r="J25" s="538">
        <v>0</v>
      </c>
    </row>
    <row r="26" spans="1:10" ht="12.75">
      <c r="A26" s="19">
        <v>15</v>
      </c>
      <c r="B26" s="328" t="s">
        <v>884</v>
      </c>
      <c r="C26" s="20">
        <v>0</v>
      </c>
      <c r="D26" s="20">
        <v>0</v>
      </c>
      <c r="E26" s="20">
        <v>0</v>
      </c>
      <c r="F26" s="102">
        <f t="shared" si="0"/>
        <v>0</v>
      </c>
      <c r="G26" s="20">
        <v>0</v>
      </c>
      <c r="H26" s="29">
        <v>0</v>
      </c>
      <c r="I26" s="29">
        <v>0</v>
      </c>
      <c r="J26" s="538">
        <v>0</v>
      </c>
    </row>
    <row r="27" spans="1:10" ht="12.75">
      <c r="A27" s="19">
        <v>16</v>
      </c>
      <c r="B27" s="328" t="s">
        <v>885</v>
      </c>
      <c r="C27" s="20">
        <v>0</v>
      </c>
      <c r="D27" s="20">
        <v>0</v>
      </c>
      <c r="E27" s="20">
        <v>0</v>
      </c>
      <c r="F27" s="102">
        <f t="shared" si="0"/>
        <v>0</v>
      </c>
      <c r="G27" s="20">
        <v>0</v>
      </c>
      <c r="H27" s="29">
        <v>0</v>
      </c>
      <c r="I27" s="29">
        <v>0</v>
      </c>
      <c r="J27" s="538">
        <v>0</v>
      </c>
    </row>
    <row r="28" spans="1:10" ht="12.75">
      <c r="A28" s="19">
        <v>17</v>
      </c>
      <c r="B28" s="328" t="s">
        <v>886</v>
      </c>
      <c r="C28" s="20">
        <v>0</v>
      </c>
      <c r="D28" s="20">
        <v>0</v>
      </c>
      <c r="E28" s="20">
        <v>0</v>
      </c>
      <c r="F28" s="102">
        <f t="shared" si="0"/>
        <v>0</v>
      </c>
      <c r="G28" s="20">
        <v>0</v>
      </c>
      <c r="H28" s="29">
        <v>0</v>
      </c>
      <c r="I28" s="29">
        <v>0</v>
      </c>
      <c r="J28" s="538">
        <v>0</v>
      </c>
    </row>
    <row r="29" spans="1:10" ht="12.75">
      <c r="A29" s="19">
        <v>18</v>
      </c>
      <c r="B29" s="328" t="s">
        <v>887</v>
      </c>
      <c r="C29" s="20">
        <v>0</v>
      </c>
      <c r="D29" s="20">
        <v>0</v>
      </c>
      <c r="E29" s="20">
        <v>0</v>
      </c>
      <c r="F29" s="102">
        <f t="shared" si="0"/>
        <v>0</v>
      </c>
      <c r="G29" s="20">
        <v>0</v>
      </c>
      <c r="H29" s="29">
        <v>0</v>
      </c>
      <c r="I29" s="29">
        <v>0</v>
      </c>
      <c r="J29" s="538">
        <v>0</v>
      </c>
    </row>
    <row r="30" spans="1:10" ht="12.75">
      <c r="A30" s="19">
        <v>19</v>
      </c>
      <c r="B30" s="328" t="s">
        <v>888</v>
      </c>
      <c r="C30" s="20">
        <v>0</v>
      </c>
      <c r="D30" s="20">
        <v>0</v>
      </c>
      <c r="E30" s="20">
        <v>0</v>
      </c>
      <c r="F30" s="102">
        <f t="shared" si="0"/>
        <v>0</v>
      </c>
      <c r="G30" s="20">
        <v>0</v>
      </c>
      <c r="H30" s="29">
        <v>0</v>
      </c>
      <c r="I30" s="29">
        <v>0</v>
      </c>
      <c r="J30" s="538">
        <v>0</v>
      </c>
    </row>
    <row r="31" spans="1:10" ht="12.75">
      <c r="A31" s="19">
        <v>20</v>
      </c>
      <c r="B31" s="328" t="s">
        <v>889</v>
      </c>
      <c r="C31" s="20">
        <v>0</v>
      </c>
      <c r="D31" s="20">
        <v>0</v>
      </c>
      <c r="E31" s="20">
        <v>0</v>
      </c>
      <c r="F31" s="102">
        <f t="shared" si="0"/>
        <v>0</v>
      </c>
      <c r="G31" s="20">
        <v>11</v>
      </c>
      <c r="H31" s="29">
        <v>3379</v>
      </c>
      <c r="I31" s="29">
        <v>35</v>
      </c>
      <c r="J31" s="538">
        <f>H31/I31</f>
        <v>96.54285714285714</v>
      </c>
    </row>
    <row r="32" spans="1:10" ht="12.75">
      <c r="A32" s="19">
        <v>21</v>
      </c>
      <c r="B32" s="328" t="s">
        <v>890</v>
      </c>
      <c r="C32" s="20">
        <v>0</v>
      </c>
      <c r="D32" s="20">
        <v>0</v>
      </c>
      <c r="E32" s="20">
        <v>0</v>
      </c>
      <c r="F32" s="102">
        <f t="shared" si="0"/>
        <v>0</v>
      </c>
      <c r="G32" s="20">
        <v>0</v>
      </c>
      <c r="H32" s="29">
        <v>0</v>
      </c>
      <c r="I32" s="29">
        <v>0</v>
      </c>
      <c r="J32" s="538">
        <v>0</v>
      </c>
    </row>
    <row r="33" spans="1:10" ht="12.75">
      <c r="A33" s="19">
        <v>22</v>
      </c>
      <c r="B33" s="328" t="s">
        <v>891</v>
      </c>
      <c r="C33" s="20">
        <v>0</v>
      </c>
      <c r="D33" s="20">
        <v>0</v>
      </c>
      <c r="E33" s="20">
        <v>0</v>
      </c>
      <c r="F33" s="102">
        <f t="shared" si="0"/>
        <v>0</v>
      </c>
      <c r="G33" s="20">
        <v>0</v>
      </c>
      <c r="H33" s="29">
        <v>0</v>
      </c>
      <c r="I33" s="29">
        <v>0</v>
      </c>
      <c r="J33" s="538">
        <v>0</v>
      </c>
    </row>
    <row r="34" spans="1:10" ht="12.75">
      <c r="A34" s="19">
        <v>23</v>
      </c>
      <c r="B34" s="328" t="s">
        <v>892</v>
      </c>
      <c r="C34" s="20">
        <v>0</v>
      </c>
      <c r="D34" s="20">
        <v>0</v>
      </c>
      <c r="E34" s="20">
        <v>0</v>
      </c>
      <c r="F34" s="102">
        <f t="shared" si="0"/>
        <v>0</v>
      </c>
      <c r="G34" s="20">
        <v>0</v>
      </c>
      <c r="H34" s="29">
        <v>0</v>
      </c>
      <c r="I34" s="29">
        <v>0</v>
      </c>
      <c r="J34" s="538">
        <v>0</v>
      </c>
    </row>
    <row r="35" spans="1:10" ht="12.75">
      <c r="A35" s="19">
        <v>24</v>
      </c>
      <c r="B35" s="328" t="s">
        <v>893</v>
      </c>
      <c r="C35" s="20">
        <v>0</v>
      </c>
      <c r="D35" s="20">
        <v>0</v>
      </c>
      <c r="E35" s="20">
        <v>0</v>
      </c>
      <c r="F35" s="102">
        <f t="shared" si="0"/>
        <v>0</v>
      </c>
      <c r="G35" s="20">
        <v>0</v>
      </c>
      <c r="H35" s="29">
        <v>0</v>
      </c>
      <c r="I35" s="29">
        <v>0</v>
      </c>
      <c r="J35" s="538">
        <v>0</v>
      </c>
    </row>
    <row r="36" spans="1:10" ht="12.75">
      <c r="A36" s="19">
        <v>25</v>
      </c>
      <c r="B36" s="328" t="s">
        <v>894</v>
      </c>
      <c r="C36" s="20">
        <v>0</v>
      </c>
      <c r="D36" s="20">
        <v>0</v>
      </c>
      <c r="E36" s="20">
        <v>0</v>
      </c>
      <c r="F36" s="102">
        <f t="shared" si="0"/>
        <v>0</v>
      </c>
      <c r="G36" s="20">
        <v>0</v>
      </c>
      <c r="H36" s="29">
        <v>0</v>
      </c>
      <c r="I36" s="29">
        <v>0</v>
      </c>
      <c r="J36" s="538">
        <v>0</v>
      </c>
    </row>
    <row r="37" spans="1:10" ht="12.75">
      <c r="A37" s="19">
        <v>26</v>
      </c>
      <c r="B37" s="328" t="s">
        <v>895</v>
      </c>
      <c r="C37" s="20">
        <v>0</v>
      </c>
      <c r="D37" s="20">
        <v>0</v>
      </c>
      <c r="E37" s="20">
        <v>0</v>
      </c>
      <c r="F37" s="102">
        <f t="shared" si="0"/>
        <v>0</v>
      </c>
      <c r="G37" s="20">
        <v>0</v>
      </c>
      <c r="H37" s="29">
        <v>0</v>
      </c>
      <c r="I37" s="29">
        <v>0</v>
      </c>
      <c r="J37" s="538">
        <v>0</v>
      </c>
    </row>
    <row r="38" spans="1:10" ht="12.75">
      <c r="A38" s="19">
        <v>27</v>
      </c>
      <c r="B38" s="328" t="s">
        <v>896</v>
      </c>
      <c r="C38" s="20">
        <v>0</v>
      </c>
      <c r="D38" s="20">
        <v>0</v>
      </c>
      <c r="E38" s="20">
        <v>0</v>
      </c>
      <c r="F38" s="102">
        <f t="shared" si="0"/>
        <v>0</v>
      </c>
      <c r="G38" s="20">
        <v>1</v>
      </c>
      <c r="H38" s="29">
        <v>1573</v>
      </c>
      <c r="I38" s="29">
        <v>36</v>
      </c>
      <c r="J38" s="538">
        <f>H38/I38</f>
        <v>43.69444444444444</v>
      </c>
    </row>
    <row r="39" spans="1:10" ht="12.75">
      <c r="A39" s="19">
        <v>28</v>
      </c>
      <c r="B39" s="328" t="s">
        <v>897</v>
      </c>
      <c r="C39" s="20">
        <v>0</v>
      </c>
      <c r="D39" s="20">
        <v>0</v>
      </c>
      <c r="E39" s="20">
        <v>0</v>
      </c>
      <c r="F39" s="102">
        <f t="shared" si="0"/>
        <v>0</v>
      </c>
      <c r="G39" s="20">
        <v>0</v>
      </c>
      <c r="H39" s="29">
        <v>0</v>
      </c>
      <c r="I39" s="29">
        <v>0</v>
      </c>
      <c r="J39" s="538">
        <v>0</v>
      </c>
    </row>
    <row r="40" spans="1:10" ht="12.75">
      <c r="A40" s="19">
        <v>29</v>
      </c>
      <c r="B40" s="328" t="s">
        <v>898</v>
      </c>
      <c r="C40" s="20">
        <v>0</v>
      </c>
      <c r="D40" s="20">
        <v>0</v>
      </c>
      <c r="E40" s="20">
        <v>0</v>
      </c>
      <c r="F40" s="102">
        <f t="shared" si="0"/>
        <v>0</v>
      </c>
      <c r="G40" s="20">
        <v>0</v>
      </c>
      <c r="H40" s="29">
        <v>0</v>
      </c>
      <c r="I40" s="29">
        <v>0</v>
      </c>
      <c r="J40" s="538">
        <v>0</v>
      </c>
    </row>
    <row r="41" spans="1:10" ht="12.75">
      <c r="A41" s="19">
        <v>30</v>
      </c>
      <c r="B41" s="328" t="s">
        <v>899</v>
      </c>
      <c r="C41" s="20">
        <v>0</v>
      </c>
      <c r="D41" s="20">
        <v>0</v>
      </c>
      <c r="E41" s="20">
        <v>0</v>
      </c>
      <c r="F41" s="102">
        <f t="shared" si="0"/>
        <v>0</v>
      </c>
      <c r="G41" s="20"/>
      <c r="H41" s="29"/>
      <c r="I41" s="29"/>
      <c r="J41" s="538">
        <v>0</v>
      </c>
    </row>
    <row r="42" spans="1:10" ht="12.75">
      <c r="A42" s="19">
        <v>31</v>
      </c>
      <c r="B42" s="328" t="s">
        <v>900</v>
      </c>
      <c r="C42" s="20">
        <v>0</v>
      </c>
      <c r="D42" s="20">
        <v>0</v>
      </c>
      <c r="E42" s="20">
        <v>0</v>
      </c>
      <c r="F42" s="102">
        <f t="shared" si="0"/>
        <v>0</v>
      </c>
      <c r="G42" s="20">
        <v>0</v>
      </c>
      <c r="H42" s="29">
        <v>0</v>
      </c>
      <c r="I42" s="29">
        <v>0</v>
      </c>
      <c r="J42" s="538">
        <v>0</v>
      </c>
    </row>
    <row r="43" spans="1:10" ht="12.75">
      <c r="A43" s="19">
        <v>32</v>
      </c>
      <c r="B43" s="328" t="s">
        <v>901</v>
      </c>
      <c r="C43" s="20">
        <v>0</v>
      </c>
      <c r="D43" s="20">
        <v>0</v>
      </c>
      <c r="E43" s="20">
        <v>0</v>
      </c>
      <c r="F43" s="102">
        <f t="shared" si="0"/>
        <v>0</v>
      </c>
      <c r="G43" s="20">
        <v>0</v>
      </c>
      <c r="H43" s="29">
        <v>0</v>
      </c>
      <c r="I43" s="29">
        <v>0</v>
      </c>
      <c r="J43" s="538">
        <v>0</v>
      </c>
    </row>
    <row r="44" spans="1:10" ht="12.75">
      <c r="A44" s="19">
        <v>33</v>
      </c>
      <c r="B44" s="328" t="s">
        <v>902</v>
      </c>
      <c r="C44" s="20">
        <v>0</v>
      </c>
      <c r="D44" s="20">
        <v>0</v>
      </c>
      <c r="E44" s="20">
        <v>0</v>
      </c>
      <c r="F44" s="102">
        <f t="shared" si="0"/>
        <v>0</v>
      </c>
      <c r="G44" s="20">
        <v>0</v>
      </c>
      <c r="H44" s="29">
        <v>0</v>
      </c>
      <c r="I44" s="29">
        <v>0</v>
      </c>
      <c r="J44" s="538">
        <v>0</v>
      </c>
    </row>
    <row r="45" spans="1:10" ht="12.75">
      <c r="A45" s="19">
        <v>34</v>
      </c>
      <c r="B45" s="328" t="s">
        <v>903</v>
      </c>
      <c r="C45" s="20">
        <v>0</v>
      </c>
      <c r="D45" s="20">
        <v>0</v>
      </c>
      <c r="E45" s="20">
        <v>0</v>
      </c>
      <c r="F45" s="102">
        <f t="shared" si="0"/>
        <v>0</v>
      </c>
      <c r="G45" s="20">
        <v>0</v>
      </c>
      <c r="H45" s="29">
        <v>0</v>
      </c>
      <c r="I45" s="29">
        <v>0</v>
      </c>
      <c r="J45" s="538">
        <v>0</v>
      </c>
    </row>
    <row r="46" spans="1:10" ht="12.75">
      <c r="A46" s="19">
        <v>35</v>
      </c>
      <c r="B46" s="328" t="s">
        <v>904</v>
      </c>
      <c r="C46" s="20">
        <v>0</v>
      </c>
      <c r="D46" s="20">
        <v>0</v>
      </c>
      <c r="E46" s="20">
        <v>0</v>
      </c>
      <c r="F46" s="102">
        <f t="shared" si="0"/>
        <v>0</v>
      </c>
      <c r="G46" s="20">
        <v>0</v>
      </c>
      <c r="H46" s="29">
        <v>0</v>
      </c>
      <c r="I46" s="29">
        <v>0</v>
      </c>
      <c r="J46" s="538">
        <v>0</v>
      </c>
    </row>
    <row r="47" spans="1:10" ht="12.75">
      <c r="A47" s="3" t="s">
        <v>19</v>
      </c>
      <c r="B47" s="30"/>
      <c r="C47" s="30"/>
      <c r="D47" s="20"/>
      <c r="E47" s="20">
        <v>36</v>
      </c>
      <c r="F47" s="102">
        <f t="shared" si="0"/>
        <v>0</v>
      </c>
      <c r="G47" s="20">
        <f>SUM(G12:G46)</f>
        <v>329</v>
      </c>
      <c r="H47" s="20">
        <f>SUM(H12:H46)</f>
        <v>49198</v>
      </c>
      <c r="I47" s="20">
        <f>SUM(I12:I46)</f>
        <v>153</v>
      </c>
      <c r="J47" s="538">
        <f>SUM(J16:J46)</f>
        <v>1091.8616176967241</v>
      </c>
    </row>
    <row r="48" spans="1:10" ht="12.75">
      <c r="A48" s="12"/>
      <c r="B48" s="31"/>
      <c r="C48" s="31"/>
      <c r="D48" s="22"/>
      <c r="E48" s="22"/>
      <c r="F48" s="22"/>
      <c r="G48" s="22"/>
      <c r="H48" s="22"/>
      <c r="I48" s="22"/>
      <c r="J48" s="22"/>
    </row>
    <row r="49" spans="1:10" ht="12.75">
      <c r="A49" s="12"/>
      <c r="B49" s="31"/>
      <c r="C49" s="31"/>
      <c r="D49" s="22"/>
      <c r="E49" s="22"/>
      <c r="F49" s="22"/>
      <c r="G49" s="22"/>
      <c r="H49" s="22"/>
      <c r="I49" s="22"/>
      <c r="J49" s="22"/>
    </row>
    <row r="50" spans="1:10" ht="12.75" customHeight="1">
      <c r="A50" s="12"/>
      <c r="B50" s="31"/>
      <c r="C50" s="748" t="s">
        <v>1021</v>
      </c>
      <c r="D50" s="748"/>
      <c r="E50" s="748"/>
      <c r="F50" s="748"/>
      <c r="H50" s="748" t="s">
        <v>1024</v>
      </c>
      <c r="I50" s="748"/>
      <c r="J50" s="748"/>
    </row>
    <row r="51" spans="1:10" ht="15.75" customHeight="1">
      <c r="A51" s="15" t="s">
        <v>12</v>
      </c>
      <c r="B51" s="15"/>
      <c r="C51" s="748" t="s">
        <v>1022</v>
      </c>
      <c r="D51" s="748"/>
      <c r="E51" s="748"/>
      <c r="F51" s="748"/>
      <c r="H51" s="748" t="s">
        <v>1025</v>
      </c>
      <c r="I51" s="748"/>
      <c r="J51" s="748"/>
    </row>
    <row r="52" spans="1:10" ht="12.75" customHeight="1">
      <c r="A52" s="83"/>
      <c r="B52" s="83"/>
      <c r="C52" s="735" t="s">
        <v>1023</v>
      </c>
      <c r="D52" s="735"/>
      <c r="E52" s="735"/>
      <c r="F52" s="735"/>
      <c r="H52" s="735" t="s">
        <v>1023</v>
      </c>
      <c r="I52" s="735"/>
      <c r="J52" s="735"/>
    </row>
    <row r="53" spans="1:10" ht="12.7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</row>
    <row r="54" spans="1:10" ht="12.75">
      <c r="A54" s="15"/>
      <c r="B54" s="15"/>
      <c r="C54" s="15"/>
      <c r="E54" s="15"/>
      <c r="H54" s="36"/>
      <c r="I54" s="36"/>
      <c r="J54" s="36"/>
    </row>
    <row r="58" spans="1:10" ht="12.75">
      <c r="A58" s="839"/>
      <c r="B58" s="839"/>
      <c r="C58" s="839"/>
      <c r="D58" s="839"/>
      <c r="E58" s="839"/>
      <c r="F58" s="839"/>
      <c r="G58" s="839"/>
      <c r="H58" s="839"/>
      <c r="I58" s="839"/>
      <c r="J58" s="839"/>
    </row>
    <row r="60" spans="1:10" ht="12.75">
      <c r="A60" s="839"/>
      <c r="B60" s="839"/>
      <c r="C60" s="839"/>
      <c r="D60" s="839"/>
      <c r="E60" s="839"/>
      <c r="F60" s="839"/>
      <c r="G60" s="839"/>
      <c r="H60" s="839"/>
      <c r="I60" s="839"/>
      <c r="J60" s="839"/>
    </row>
  </sheetData>
  <sheetProtection/>
  <mergeCells count="17">
    <mergeCell ref="E1:I1"/>
    <mergeCell ref="A2:J2"/>
    <mergeCell ref="A3:J3"/>
    <mergeCell ref="A5:J5"/>
    <mergeCell ref="H8:J8"/>
    <mergeCell ref="A58:J58"/>
    <mergeCell ref="C52:F52"/>
    <mergeCell ref="A60:J60"/>
    <mergeCell ref="A9:A10"/>
    <mergeCell ref="B9:B10"/>
    <mergeCell ref="C9:F9"/>
    <mergeCell ref="G9:J9"/>
    <mergeCell ref="H50:J50"/>
    <mergeCell ref="H51:J51"/>
    <mergeCell ref="H52:J52"/>
    <mergeCell ref="C50:F50"/>
    <mergeCell ref="C51:F51"/>
  </mergeCells>
  <printOptions horizontalCentered="1"/>
  <pageMargins left="0.7086614173228347" right="0.7086614173228347" top="0.2362204724409449" bottom="0" header="0.24" footer="0.31496062992125984"/>
  <pageSetup fitToHeight="1" fitToWidth="1"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view="pageBreakPreview" zoomScale="90" zoomScaleSheetLayoutView="90" zoomScalePageLayoutView="0" workbookViewId="0" topLeftCell="A1">
      <selection activeCell="H12" sqref="H12:L47"/>
    </sheetView>
  </sheetViews>
  <sheetFormatPr defaultColWidth="9.140625" defaultRowHeight="12.75"/>
  <cols>
    <col min="1" max="1" width="6.7109375" style="16" customWidth="1"/>
    <col min="2" max="2" width="11.57421875" style="16" customWidth="1"/>
    <col min="3" max="3" width="12.00390625" style="16" customWidth="1"/>
    <col min="4" max="4" width="10.421875" style="341" customWidth="1"/>
    <col min="5" max="5" width="10.140625" style="16" customWidth="1"/>
    <col min="6" max="6" width="13.00390625" style="341" customWidth="1"/>
    <col min="7" max="7" width="12.57421875" style="341" customWidth="1"/>
    <col min="8" max="8" width="12.421875" style="16" customWidth="1"/>
    <col min="9" max="9" width="12.140625" style="16" customWidth="1"/>
    <col min="10" max="10" width="11.7109375" style="16" customWidth="1"/>
    <col min="11" max="11" width="12.00390625" style="16" customWidth="1"/>
    <col min="12" max="13" width="14.140625" style="16" customWidth="1"/>
    <col min="14" max="16384" width="9.140625" style="16" customWidth="1"/>
  </cols>
  <sheetData>
    <row r="1" spans="4:13" ht="12.75">
      <c r="D1" s="354"/>
      <c r="E1" s="36"/>
      <c r="F1" s="354"/>
      <c r="G1" s="354"/>
      <c r="H1" s="36"/>
      <c r="I1" s="36"/>
      <c r="J1" s="36"/>
      <c r="K1" s="36"/>
      <c r="L1" s="507" t="s">
        <v>63</v>
      </c>
      <c r="M1" s="507"/>
    </row>
    <row r="2" spans="1:13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364"/>
    </row>
    <row r="3" spans="1:13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123"/>
    </row>
    <row r="4" spans="4:7" ht="10.5" customHeight="1">
      <c r="D4" s="343"/>
      <c r="F4" s="343"/>
      <c r="G4" s="343"/>
    </row>
    <row r="5" spans="1:13" ht="19.5" customHeight="1">
      <c r="A5" s="840" t="s">
        <v>746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  <c r="M5" s="46"/>
    </row>
    <row r="6" spans="1:13" ht="12.75">
      <c r="A6" s="23"/>
      <c r="B6" s="23"/>
      <c r="C6" s="23"/>
      <c r="D6" s="355"/>
      <c r="E6" s="23"/>
      <c r="F6" s="355"/>
      <c r="G6" s="355"/>
      <c r="H6" s="23"/>
      <c r="I6" s="23"/>
      <c r="J6" s="23"/>
      <c r="K6" s="23"/>
      <c r="L6" s="23"/>
      <c r="M6" s="23"/>
    </row>
    <row r="7" spans="1:13" ht="12.75">
      <c r="A7" s="36" t="s">
        <v>1005</v>
      </c>
      <c r="B7" s="36"/>
      <c r="C7" s="15"/>
      <c r="F7" s="841" t="s">
        <v>20</v>
      </c>
      <c r="G7" s="841"/>
      <c r="H7" s="841"/>
      <c r="I7" s="841"/>
      <c r="J7" s="841"/>
      <c r="K7" s="841"/>
      <c r="L7" s="841"/>
      <c r="M7" s="17"/>
    </row>
    <row r="8" spans="1:13" ht="12.75">
      <c r="A8" s="15"/>
      <c r="F8" s="409"/>
      <c r="G8" s="506"/>
      <c r="H8" s="99"/>
      <c r="I8" s="842" t="s">
        <v>822</v>
      </c>
      <c r="J8" s="842"/>
      <c r="K8" s="842"/>
      <c r="L8" s="842"/>
      <c r="M8" s="131"/>
    </row>
    <row r="9" spans="1:13" s="15" customFormat="1" ht="12.75">
      <c r="A9" s="709" t="s">
        <v>2</v>
      </c>
      <c r="B9" s="709" t="s">
        <v>3</v>
      </c>
      <c r="C9" s="696" t="s">
        <v>21</v>
      </c>
      <c r="D9" s="697"/>
      <c r="E9" s="697"/>
      <c r="F9" s="697"/>
      <c r="G9" s="697"/>
      <c r="H9" s="696" t="s">
        <v>42</v>
      </c>
      <c r="I9" s="697"/>
      <c r="J9" s="697"/>
      <c r="K9" s="697"/>
      <c r="L9" s="697"/>
      <c r="M9" s="115"/>
    </row>
    <row r="10" spans="1:13" s="15" customFormat="1" ht="77.25" customHeight="1">
      <c r="A10" s="709"/>
      <c r="B10" s="709"/>
      <c r="C10" s="5" t="s">
        <v>673</v>
      </c>
      <c r="D10" s="356" t="s">
        <v>674</v>
      </c>
      <c r="E10" s="5" t="s">
        <v>70</v>
      </c>
      <c r="F10" s="356" t="s">
        <v>71</v>
      </c>
      <c r="G10" s="539" t="s">
        <v>747</v>
      </c>
      <c r="H10" s="5" t="s">
        <v>673</v>
      </c>
      <c r="I10" s="5" t="s">
        <v>674</v>
      </c>
      <c r="J10" s="5" t="s">
        <v>70</v>
      </c>
      <c r="K10" s="5" t="s">
        <v>71</v>
      </c>
      <c r="L10" s="5" t="s">
        <v>748</v>
      </c>
      <c r="M10" s="115"/>
    </row>
    <row r="11" spans="1:13" s="15" customFormat="1" ht="12.75">
      <c r="A11" s="5">
        <v>1</v>
      </c>
      <c r="B11" s="5">
        <v>2</v>
      </c>
      <c r="C11" s="5">
        <v>3</v>
      </c>
      <c r="D11" s="356">
        <v>4</v>
      </c>
      <c r="E11" s="5">
        <v>5</v>
      </c>
      <c r="F11" s="356">
        <v>6</v>
      </c>
      <c r="G11" s="356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115"/>
    </row>
    <row r="12" spans="1:13" ht="12.75">
      <c r="A12" s="19">
        <v>1</v>
      </c>
      <c r="B12" s="328" t="s">
        <v>870</v>
      </c>
      <c r="C12" s="325">
        <v>5973.1542</v>
      </c>
      <c r="D12" s="325">
        <v>136.4011048273898</v>
      </c>
      <c r="E12" s="20">
        <v>5961.72</v>
      </c>
      <c r="F12" s="325">
        <v>6200.1368</v>
      </c>
      <c r="G12" s="325">
        <f>D12+E12-F12</f>
        <v>-102.01569517261032</v>
      </c>
      <c r="H12" s="659"/>
      <c r="I12" s="659"/>
      <c r="J12" s="659"/>
      <c r="K12" s="659"/>
      <c r="L12" s="659"/>
      <c r="M12" s="22"/>
    </row>
    <row r="13" spans="1:13" ht="12.75">
      <c r="A13" s="19">
        <v>2</v>
      </c>
      <c r="B13" s="328" t="s">
        <v>871</v>
      </c>
      <c r="C13" s="325">
        <v>1695.9912000000002</v>
      </c>
      <c r="D13" s="325">
        <v>38.729131328558466</v>
      </c>
      <c r="E13" s="20">
        <v>1650.16</v>
      </c>
      <c r="F13" s="325">
        <v>1672.674001</v>
      </c>
      <c r="G13" s="325">
        <f aca="true" t="shared" si="0" ref="G13:G47">D13+E13-F13</f>
        <v>16.215130328558416</v>
      </c>
      <c r="H13" s="659"/>
      <c r="I13" s="659"/>
      <c r="J13" s="659"/>
      <c r="K13" s="659"/>
      <c r="L13" s="659"/>
      <c r="M13" s="22"/>
    </row>
    <row r="14" spans="1:13" ht="12.75">
      <c r="A14" s="19">
        <v>3</v>
      </c>
      <c r="B14" s="328" t="s">
        <v>872</v>
      </c>
      <c r="C14" s="325">
        <v>3333.8406</v>
      </c>
      <c r="D14" s="325">
        <v>76.13055446624968</v>
      </c>
      <c r="E14" s="20">
        <v>3243.74</v>
      </c>
      <c r="F14" s="325">
        <v>3303.1507170000004</v>
      </c>
      <c r="G14" s="325">
        <f t="shared" si="0"/>
        <v>16.71983746624892</v>
      </c>
      <c r="H14" s="659"/>
      <c r="I14" s="659"/>
      <c r="J14" s="659"/>
      <c r="K14" s="659"/>
      <c r="L14" s="659"/>
      <c r="M14" s="22"/>
    </row>
    <row r="15" spans="1:13" ht="12.75">
      <c r="A15" s="19">
        <v>4</v>
      </c>
      <c r="B15" s="328" t="s">
        <v>873</v>
      </c>
      <c r="C15" s="325">
        <v>5482.6452</v>
      </c>
      <c r="D15" s="325">
        <v>125.1999927704169</v>
      </c>
      <c r="E15" s="20">
        <v>5284.64</v>
      </c>
      <c r="F15" s="325">
        <v>5449.827279</v>
      </c>
      <c r="G15" s="325">
        <f t="shared" si="0"/>
        <v>-39.98728622958242</v>
      </c>
      <c r="H15" s="659"/>
      <c r="I15" s="659"/>
      <c r="J15" s="659"/>
      <c r="K15" s="659"/>
      <c r="L15" s="659"/>
      <c r="M15" s="22"/>
    </row>
    <row r="16" spans="1:13" ht="12.75">
      <c r="A16" s="19">
        <v>5</v>
      </c>
      <c r="B16" s="328" t="s">
        <v>874</v>
      </c>
      <c r="C16" s="325">
        <v>4395.5334</v>
      </c>
      <c r="D16" s="325">
        <v>100.37504340097115</v>
      </c>
      <c r="E16" s="20">
        <v>4324.06</v>
      </c>
      <c r="F16" s="325">
        <v>4380.9319000000005</v>
      </c>
      <c r="G16" s="325">
        <f t="shared" si="0"/>
        <v>43.50314340097066</v>
      </c>
      <c r="H16" s="659"/>
      <c r="I16" s="659"/>
      <c r="J16" s="659"/>
      <c r="K16" s="659"/>
      <c r="L16" s="659"/>
      <c r="M16" s="22"/>
    </row>
    <row r="17" spans="1:13" ht="12.75">
      <c r="A17" s="19">
        <v>6</v>
      </c>
      <c r="B17" s="328" t="s">
        <v>875</v>
      </c>
      <c r="C17" s="325">
        <v>1428.2148</v>
      </c>
      <c r="D17" s="325">
        <v>32.61427214633594</v>
      </c>
      <c r="E17" s="20">
        <v>1389.62</v>
      </c>
      <c r="F17" s="325">
        <v>1426.50765</v>
      </c>
      <c r="G17" s="325">
        <f t="shared" si="0"/>
        <v>-4.273377853664215</v>
      </c>
      <c r="H17" s="659"/>
      <c r="I17" s="659"/>
      <c r="J17" s="659"/>
      <c r="K17" s="659"/>
      <c r="L17" s="659"/>
      <c r="M17" s="22"/>
    </row>
    <row r="18" spans="1:13" ht="12.75">
      <c r="A18" s="19">
        <v>7</v>
      </c>
      <c r="B18" s="328" t="s">
        <v>876</v>
      </c>
      <c r="C18" s="325">
        <v>3483.2022</v>
      </c>
      <c r="D18" s="325">
        <v>79.54132984164292</v>
      </c>
      <c r="E18" s="20">
        <v>3531.99</v>
      </c>
      <c r="F18" s="325">
        <v>3453.253944</v>
      </c>
      <c r="G18" s="325">
        <f t="shared" si="0"/>
        <v>158.27738584164263</v>
      </c>
      <c r="H18" s="659"/>
      <c r="I18" s="659"/>
      <c r="J18" s="659"/>
      <c r="K18" s="659"/>
      <c r="L18" s="659"/>
      <c r="M18" s="22"/>
    </row>
    <row r="19" spans="1:13" ht="12.75">
      <c r="A19" s="19">
        <v>8</v>
      </c>
      <c r="B19" s="328" t="s">
        <v>877</v>
      </c>
      <c r="C19" s="325">
        <v>2069.5284</v>
      </c>
      <c r="D19" s="325">
        <v>47.259111481109976</v>
      </c>
      <c r="E19" s="20">
        <v>2013.48</v>
      </c>
      <c r="F19" s="325">
        <v>2046.487309</v>
      </c>
      <c r="G19" s="325">
        <f t="shared" si="0"/>
        <v>14.251802481109735</v>
      </c>
      <c r="H19" s="659"/>
      <c r="I19" s="659"/>
      <c r="J19" s="659"/>
      <c r="K19" s="659"/>
      <c r="L19" s="659"/>
      <c r="M19" s="22"/>
    </row>
    <row r="20" spans="1:13" ht="12.75">
      <c r="A20" s="19">
        <v>9</v>
      </c>
      <c r="B20" s="328" t="s">
        <v>878</v>
      </c>
      <c r="C20" s="325">
        <v>3187.3872</v>
      </c>
      <c r="D20" s="325">
        <v>72.78618984801706</v>
      </c>
      <c r="E20" s="20">
        <v>3201.37</v>
      </c>
      <c r="F20" s="325">
        <v>3163.240404</v>
      </c>
      <c r="G20" s="325">
        <f t="shared" si="0"/>
        <v>110.91578584801664</v>
      </c>
      <c r="H20" s="659"/>
      <c r="I20" s="659"/>
      <c r="J20" s="659"/>
      <c r="K20" s="659"/>
      <c r="L20" s="659"/>
      <c r="M20" s="22"/>
    </row>
    <row r="21" spans="1:14" ht="12.75">
      <c r="A21" s="19">
        <v>10</v>
      </c>
      <c r="B21" s="328" t="s">
        <v>879</v>
      </c>
      <c r="C21" s="325">
        <v>1193.1834000000001</v>
      </c>
      <c r="D21" s="325">
        <v>27.24716767260108</v>
      </c>
      <c r="E21" s="20">
        <v>1161.2</v>
      </c>
      <c r="F21" s="325">
        <v>1241.7858</v>
      </c>
      <c r="G21" s="325">
        <f t="shared" si="0"/>
        <v>-53.338632327398955</v>
      </c>
      <c r="H21" s="659"/>
      <c r="I21" s="659"/>
      <c r="J21" s="659"/>
      <c r="K21" s="659"/>
      <c r="L21" s="659"/>
      <c r="M21" s="22"/>
      <c r="N21" s="16" t="s">
        <v>11</v>
      </c>
    </row>
    <row r="22" spans="1:13" ht="12.75">
      <c r="A22" s="19">
        <v>11</v>
      </c>
      <c r="B22" s="328" t="s">
        <v>880</v>
      </c>
      <c r="C22" s="325">
        <v>1607.3688</v>
      </c>
      <c r="D22" s="325">
        <v>36.705377568366764</v>
      </c>
      <c r="E22" s="20">
        <v>1563.94</v>
      </c>
      <c r="F22" s="325">
        <v>1575.2378050000002</v>
      </c>
      <c r="G22" s="325">
        <f t="shared" si="0"/>
        <v>25.407572568366504</v>
      </c>
      <c r="H22" s="659"/>
      <c r="I22" s="659"/>
      <c r="J22" s="659"/>
      <c r="K22" s="659"/>
      <c r="L22" s="659"/>
      <c r="M22" s="22"/>
    </row>
    <row r="23" spans="1:13" ht="12.75">
      <c r="A23" s="19">
        <v>12</v>
      </c>
      <c r="B23" s="328" t="s">
        <v>881</v>
      </c>
      <c r="C23" s="325">
        <v>1619.9784</v>
      </c>
      <c r="D23" s="325">
        <v>36.9933265001776</v>
      </c>
      <c r="E23" s="20">
        <v>1576.2</v>
      </c>
      <c r="F23" s="325">
        <v>1585.833386</v>
      </c>
      <c r="G23" s="325">
        <f t="shared" si="0"/>
        <v>27.359940500177572</v>
      </c>
      <c r="H23" s="659"/>
      <c r="I23" s="659"/>
      <c r="J23" s="659"/>
      <c r="K23" s="659"/>
      <c r="L23" s="659"/>
      <c r="M23" s="22"/>
    </row>
    <row r="24" spans="1:13" ht="12.75">
      <c r="A24" s="19">
        <v>13</v>
      </c>
      <c r="B24" s="328" t="s">
        <v>882</v>
      </c>
      <c r="C24" s="325">
        <v>5436.7578</v>
      </c>
      <c r="D24" s="325">
        <v>124.15212227384472</v>
      </c>
      <c r="E24" s="20">
        <v>5749.91</v>
      </c>
      <c r="F24" s="325">
        <v>5395.638133</v>
      </c>
      <c r="G24" s="325">
        <f t="shared" si="0"/>
        <v>478.4239892738442</v>
      </c>
      <c r="H24" s="659"/>
      <c r="I24" s="659"/>
      <c r="J24" s="659"/>
      <c r="K24" s="659"/>
      <c r="L24" s="659"/>
      <c r="M24" s="22"/>
    </row>
    <row r="25" spans="1:13" ht="12.75">
      <c r="A25" s="19">
        <v>14</v>
      </c>
      <c r="B25" s="328" t="s">
        <v>883</v>
      </c>
      <c r="C25" s="325">
        <v>3082.1592</v>
      </c>
      <c r="D25" s="325">
        <v>70.38323573396177</v>
      </c>
      <c r="E25" s="20">
        <v>2998.68</v>
      </c>
      <c r="F25" s="325">
        <v>3001.6631350000002</v>
      </c>
      <c r="G25" s="325">
        <f t="shared" si="0"/>
        <v>67.40010073396115</v>
      </c>
      <c r="H25" s="659"/>
      <c r="I25" s="659"/>
      <c r="J25" s="659"/>
      <c r="K25" s="659"/>
      <c r="L25" s="659"/>
      <c r="M25" s="22"/>
    </row>
    <row r="26" spans="1:13" ht="12.75">
      <c r="A26" s="19">
        <v>15</v>
      </c>
      <c r="B26" s="328" t="s">
        <v>884</v>
      </c>
      <c r="C26" s="325">
        <v>4716.7452</v>
      </c>
      <c r="D26" s="325">
        <v>107.71013687697658</v>
      </c>
      <c r="E26" s="20">
        <v>4489.27</v>
      </c>
      <c r="F26" s="325">
        <v>4658.6891000000005</v>
      </c>
      <c r="G26" s="325">
        <f t="shared" si="0"/>
        <v>-61.70896312302375</v>
      </c>
      <c r="H26" s="659"/>
      <c r="I26" s="659"/>
      <c r="J26" s="659"/>
      <c r="K26" s="659"/>
      <c r="L26" s="659"/>
      <c r="M26" s="22"/>
    </row>
    <row r="27" spans="1:13" ht="12.75">
      <c r="A27" s="19">
        <v>16</v>
      </c>
      <c r="B27" s="328" t="s">
        <v>885</v>
      </c>
      <c r="C27" s="325">
        <v>3625.7262</v>
      </c>
      <c r="D27" s="325">
        <v>82.79596389485702</v>
      </c>
      <c r="E27" s="20">
        <v>2923.74</v>
      </c>
      <c r="F27" s="325">
        <v>3596.068568</v>
      </c>
      <c r="G27" s="325">
        <f t="shared" si="0"/>
        <v>-589.5326041051435</v>
      </c>
      <c r="H27" s="659"/>
      <c r="I27" s="659"/>
      <c r="J27" s="659"/>
      <c r="K27" s="659"/>
      <c r="L27" s="659"/>
      <c r="M27" s="22"/>
    </row>
    <row r="28" spans="1:13" ht="12.75">
      <c r="A28" s="19">
        <v>17</v>
      </c>
      <c r="B28" s="328" t="s">
        <v>886</v>
      </c>
      <c r="C28" s="325">
        <v>5962.2318000000005</v>
      </c>
      <c r="D28" s="325">
        <v>136.15168427377898</v>
      </c>
      <c r="E28" s="20">
        <v>5521.25</v>
      </c>
      <c r="F28" s="325">
        <v>5883.957443</v>
      </c>
      <c r="G28" s="325">
        <f t="shared" si="0"/>
        <v>-226.55575872622103</v>
      </c>
      <c r="H28" s="659"/>
      <c r="I28" s="659"/>
      <c r="J28" s="659"/>
      <c r="K28" s="659"/>
      <c r="L28" s="659"/>
      <c r="M28" s="22"/>
    </row>
    <row r="29" spans="1:13" ht="12.75">
      <c r="A29" s="19">
        <v>18</v>
      </c>
      <c r="B29" s="328" t="s">
        <v>887</v>
      </c>
      <c r="C29" s="325">
        <v>4082.358</v>
      </c>
      <c r="D29" s="325">
        <v>93.22346667376063</v>
      </c>
      <c r="E29" s="20">
        <v>3872.03</v>
      </c>
      <c r="F29" s="325">
        <v>4053.4540600000005</v>
      </c>
      <c r="G29" s="325">
        <f t="shared" si="0"/>
        <v>-88.20059332623987</v>
      </c>
      <c r="H29" s="659"/>
      <c r="I29" s="659"/>
      <c r="J29" s="659"/>
      <c r="K29" s="659"/>
      <c r="L29" s="659"/>
      <c r="M29" s="22"/>
    </row>
    <row r="30" spans="1:13" ht="12.75">
      <c r="A30" s="19">
        <v>19</v>
      </c>
      <c r="B30" s="328" t="s">
        <v>888</v>
      </c>
      <c r="C30" s="325">
        <v>4922.5614000000005</v>
      </c>
      <c r="D30" s="325">
        <v>112.41009206503703</v>
      </c>
      <c r="E30" s="20">
        <v>4689.83</v>
      </c>
      <c r="F30" s="325">
        <v>4817.667967</v>
      </c>
      <c r="G30" s="325">
        <f t="shared" si="0"/>
        <v>-15.427874934963256</v>
      </c>
      <c r="H30" s="659"/>
      <c r="I30" s="659"/>
      <c r="J30" s="659"/>
      <c r="K30" s="659"/>
      <c r="L30" s="659"/>
      <c r="M30" s="22"/>
    </row>
    <row r="31" spans="1:13" ht="12.75">
      <c r="A31" s="19">
        <v>20</v>
      </c>
      <c r="B31" s="328" t="s">
        <v>889</v>
      </c>
      <c r="C31" s="325">
        <v>2399.1096000000002</v>
      </c>
      <c r="D31" s="325">
        <v>54.78532599108143</v>
      </c>
      <c r="E31" s="20">
        <v>2433.94</v>
      </c>
      <c r="F31" s="325">
        <v>2382.3130300000003</v>
      </c>
      <c r="G31" s="325">
        <f t="shared" si="0"/>
        <v>106.41229599108101</v>
      </c>
      <c r="H31" s="659"/>
      <c r="I31" s="659"/>
      <c r="J31" s="659"/>
      <c r="K31" s="659"/>
      <c r="L31" s="659"/>
      <c r="M31" s="22"/>
    </row>
    <row r="32" spans="1:13" ht="12.75">
      <c r="A32" s="19">
        <v>21</v>
      </c>
      <c r="B32" s="328" t="s">
        <v>890</v>
      </c>
      <c r="C32" s="325">
        <v>9029.517</v>
      </c>
      <c r="D32" s="325">
        <v>206.19526193676668</v>
      </c>
      <c r="E32" s="20">
        <v>8685.8</v>
      </c>
      <c r="F32" s="325">
        <v>8580.9436</v>
      </c>
      <c r="G32" s="325">
        <f t="shared" si="0"/>
        <v>311.0516619367663</v>
      </c>
      <c r="H32" s="659"/>
      <c r="I32" s="659"/>
      <c r="J32" s="659"/>
      <c r="K32" s="659"/>
      <c r="L32" s="659"/>
      <c r="M32" s="22"/>
    </row>
    <row r="33" spans="1:13" ht="12.75">
      <c r="A33" s="19">
        <v>22</v>
      </c>
      <c r="B33" s="328" t="s">
        <v>891</v>
      </c>
      <c r="C33" s="325">
        <v>2292.4608000000003</v>
      </c>
      <c r="D33" s="325">
        <v>52.34992692696296</v>
      </c>
      <c r="E33" s="20">
        <v>2320.19</v>
      </c>
      <c r="F33" s="325">
        <v>2268.8221780000003</v>
      </c>
      <c r="G33" s="325">
        <f t="shared" si="0"/>
        <v>103.71774892696249</v>
      </c>
      <c r="H33" s="659"/>
      <c r="I33" s="659"/>
      <c r="J33" s="659"/>
      <c r="K33" s="659"/>
      <c r="L33" s="659"/>
      <c r="M33" s="22"/>
    </row>
    <row r="34" spans="1:13" ht="12.75">
      <c r="A34" s="19">
        <v>23</v>
      </c>
      <c r="B34" s="328" t="s">
        <v>892</v>
      </c>
      <c r="C34" s="325">
        <v>3227.547</v>
      </c>
      <c r="D34" s="325">
        <v>73.70326663964701</v>
      </c>
      <c r="E34" s="20">
        <v>3090.39</v>
      </c>
      <c r="F34" s="325">
        <v>3158.5924280000004</v>
      </c>
      <c r="G34" s="325">
        <f t="shared" si="0"/>
        <v>5.500838639646645</v>
      </c>
      <c r="H34" s="659"/>
      <c r="I34" s="659"/>
      <c r="J34" s="659"/>
      <c r="K34" s="659"/>
      <c r="L34" s="659"/>
      <c r="M34" s="22"/>
    </row>
    <row r="35" spans="1:13" ht="12.75">
      <c r="A35" s="19">
        <v>24</v>
      </c>
      <c r="B35" s="328" t="s">
        <v>893</v>
      </c>
      <c r="C35" s="325">
        <v>9496.0722</v>
      </c>
      <c r="D35" s="325">
        <v>216.84937241376792</v>
      </c>
      <c r="E35" s="20">
        <v>9439.43</v>
      </c>
      <c r="F35" s="325">
        <v>9429.30392</v>
      </c>
      <c r="G35" s="325">
        <f t="shared" si="0"/>
        <v>226.97545241376793</v>
      </c>
      <c r="H35" s="659"/>
      <c r="I35" s="659"/>
      <c r="J35" s="659"/>
      <c r="K35" s="659"/>
      <c r="L35" s="659"/>
      <c r="M35" s="22"/>
    </row>
    <row r="36" spans="1:13" ht="12.75">
      <c r="A36" s="19">
        <v>25</v>
      </c>
      <c r="B36" s="328" t="s">
        <v>894</v>
      </c>
      <c r="C36" s="325">
        <v>2481.9378</v>
      </c>
      <c r="D36" s="325">
        <v>56.67676518929667</v>
      </c>
      <c r="E36" s="20">
        <v>2414.86</v>
      </c>
      <c r="F36" s="325">
        <v>2443.631862</v>
      </c>
      <c r="G36" s="325">
        <f t="shared" si="0"/>
        <v>27.90490318929642</v>
      </c>
      <c r="H36" s="659"/>
      <c r="I36" s="659"/>
      <c r="J36" s="659"/>
      <c r="K36" s="659"/>
      <c r="L36" s="659"/>
      <c r="M36" s="22"/>
    </row>
    <row r="37" spans="1:13" ht="12.75">
      <c r="A37" s="19">
        <v>26</v>
      </c>
      <c r="B37" s="328" t="s">
        <v>895</v>
      </c>
      <c r="C37" s="325">
        <v>1863.8010000000002</v>
      </c>
      <c r="D37" s="325">
        <v>42.561184102428484</v>
      </c>
      <c r="E37" s="20">
        <v>1813.66</v>
      </c>
      <c r="F37" s="325">
        <v>1829.496329</v>
      </c>
      <c r="G37" s="325">
        <f t="shared" si="0"/>
        <v>26.72485510242859</v>
      </c>
      <c r="H37" s="659"/>
      <c r="I37" s="659"/>
      <c r="J37" s="659"/>
      <c r="K37" s="659"/>
      <c r="L37" s="659"/>
      <c r="M37" s="22"/>
    </row>
    <row r="38" spans="1:13" ht="12.75">
      <c r="A38" s="19">
        <v>27</v>
      </c>
      <c r="B38" s="328" t="s">
        <v>896</v>
      </c>
      <c r="C38" s="325">
        <v>3676.7418000000002</v>
      </c>
      <c r="D38" s="325">
        <v>83.96094038306357</v>
      </c>
      <c r="E38" s="20">
        <v>3602.28</v>
      </c>
      <c r="F38" s="325">
        <v>3670.234148</v>
      </c>
      <c r="G38" s="325">
        <f t="shared" si="0"/>
        <v>16.00679238306384</v>
      </c>
      <c r="H38" s="659"/>
      <c r="I38" s="659"/>
      <c r="J38" s="659"/>
      <c r="K38" s="659"/>
      <c r="L38" s="659"/>
      <c r="M38" s="22"/>
    </row>
    <row r="39" spans="1:13" ht="12.75">
      <c r="A39" s="19">
        <v>28</v>
      </c>
      <c r="B39" s="328" t="s">
        <v>897</v>
      </c>
      <c r="C39" s="325">
        <v>3663.5994</v>
      </c>
      <c r="D39" s="325">
        <v>83.66082459497903</v>
      </c>
      <c r="E39" s="20">
        <v>3664.458</v>
      </c>
      <c r="F39" s="325">
        <v>3636.660516</v>
      </c>
      <c r="G39" s="325">
        <f t="shared" si="0"/>
        <v>111.45830859497937</v>
      </c>
      <c r="H39" s="659"/>
      <c r="I39" s="659"/>
      <c r="J39" s="659"/>
      <c r="K39" s="659"/>
      <c r="L39" s="659"/>
      <c r="M39" s="22"/>
    </row>
    <row r="40" spans="1:13" ht="12.75">
      <c r="A40" s="19">
        <v>29</v>
      </c>
      <c r="B40" s="328" t="s">
        <v>898</v>
      </c>
      <c r="C40" s="325">
        <v>897.2130000000001</v>
      </c>
      <c r="D40" s="325">
        <v>20.488479012562053</v>
      </c>
      <c r="E40" s="325">
        <v>872.9</v>
      </c>
      <c r="F40" s="325">
        <v>870.9492240000001</v>
      </c>
      <c r="G40" s="325">
        <f t="shared" si="0"/>
        <v>22.439255012561944</v>
      </c>
      <c r="H40" s="659"/>
      <c r="I40" s="659"/>
      <c r="J40" s="659"/>
      <c r="K40" s="659"/>
      <c r="L40" s="659"/>
      <c r="M40" s="22"/>
    </row>
    <row r="41" spans="1:13" ht="12.75">
      <c r="A41" s="19">
        <v>30</v>
      </c>
      <c r="B41" s="328" t="s">
        <v>899</v>
      </c>
      <c r="C41" s="325">
        <v>6400.5486</v>
      </c>
      <c r="D41" s="325">
        <v>146.16095136827423</v>
      </c>
      <c r="E41" s="20">
        <v>6227.56</v>
      </c>
      <c r="F41" s="325">
        <v>6316.364122</v>
      </c>
      <c r="G41" s="325">
        <f t="shared" si="0"/>
        <v>57.3568293682747</v>
      </c>
      <c r="H41" s="659"/>
      <c r="I41" s="659"/>
      <c r="J41" s="659"/>
      <c r="K41" s="659"/>
      <c r="L41" s="659"/>
      <c r="M41" s="22"/>
    </row>
    <row r="42" spans="1:13" ht="12.75">
      <c r="A42" s="19">
        <v>31</v>
      </c>
      <c r="B42" s="328" t="s">
        <v>900</v>
      </c>
      <c r="C42" s="325">
        <v>5595.177000000001</v>
      </c>
      <c r="D42" s="325">
        <v>127.76973420589081</v>
      </c>
      <c r="E42" s="20">
        <v>5544.29</v>
      </c>
      <c r="F42" s="325">
        <v>5524.970784000001</v>
      </c>
      <c r="G42" s="325">
        <f t="shared" si="0"/>
        <v>147.0889502058899</v>
      </c>
      <c r="H42" s="659"/>
      <c r="I42" s="659"/>
      <c r="J42" s="659"/>
      <c r="K42" s="659"/>
      <c r="L42" s="659"/>
      <c r="M42" s="22"/>
    </row>
    <row r="43" spans="1:13" ht="12.75">
      <c r="A43" s="19">
        <v>32</v>
      </c>
      <c r="B43" s="328" t="s">
        <v>901</v>
      </c>
      <c r="C43" s="325">
        <v>3206.1462</v>
      </c>
      <c r="D43" s="325">
        <v>73.21456457932015</v>
      </c>
      <c r="E43" s="20">
        <v>3179.39</v>
      </c>
      <c r="F43" s="325">
        <v>3164.992599</v>
      </c>
      <c r="G43" s="325">
        <f t="shared" si="0"/>
        <v>87.61196557931999</v>
      </c>
      <c r="H43" s="659"/>
      <c r="I43" s="659"/>
      <c r="J43" s="659"/>
      <c r="K43" s="659"/>
      <c r="L43" s="659"/>
      <c r="M43" s="22"/>
    </row>
    <row r="44" spans="1:13" ht="12.75">
      <c r="A44" s="19">
        <v>33</v>
      </c>
      <c r="B44" s="328" t="s">
        <v>902</v>
      </c>
      <c r="C44" s="325">
        <v>1052.4798</v>
      </c>
      <c r="D44" s="325">
        <v>24.034103711655437</v>
      </c>
      <c r="E44" s="20">
        <v>1024</v>
      </c>
      <c r="F44" s="325">
        <v>1048.082991</v>
      </c>
      <c r="G44" s="325">
        <f t="shared" si="0"/>
        <v>-0.048887288344531044</v>
      </c>
      <c r="H44" s="659"/>
      <c r="I44" s="659"/>
      <c r="J44" s="659"/>
      <c r="K44" s="659"/>
      <c r="L44" s="659"/>
      <c r="M44" s="22"/>
    </row>
    <row r="45" spans="1:13" ht="12.75">
      <c r="A45" s="19">
        <v>34</v>
      </c>
      <c r="B45" s="328" t="s">
        <v>903</v>
      </c>
      <c r="C45" s="325">
        <v>1501.0752</v>
      </c>
      <c r="D45" s="325">
        <v>34.278089741764084</v>
      </c>
      <c r="E45" s="20">
        <v>1703.08</v>
      </c>
      <c r="F45" s="325">
        <v>1498.4776720000002</v>
      </c>
      <c r="G45" s="325">
        <f t="shared" si="0"/>
        <v>238.88041774176372</v>
      </c>
      <c r="H45" s="659"/>
      <c r="I45" s="659"/>
      <c r="J45" s="659"/>
      <c r="K45" s="659"/>
      <c r="L45" s="659"/>
      <c r="M45" s="22"/>
    </row>
    <row r="46" spans="1:13" ht="12.75">
      <c r="A46" s="19">
        <v>35</v>
      </c>
      <c r="B46" s="328" t="s">
        <v>904</v>
      </c>
      <c r="C46" s="325">
        <v>3598.398</v>
      </c>
      <c r="D46" s="325">
        <v>82.17190555848529</v>
      </c>
      <c r="E46" s="20">
        <v>3451.17</v>
      </c>
      <c r="F46" s="325">
        <v>3568.3684430000003</v>
      </c>
      <c r="G46" s="325">
        <f t="shared" si="0"/>
        <v>-35.02653744151485</v>
      </c>
      <c r="H46" s="659"/>
      <c r="I46" s="659"/>
      <c r="J46" s="659"/>
      <c r="K46" s="659"/>
      <c r="L46" s="659"/>
      <c r="M46" s="22"/>
    </row>
    <row r="47" spans="1:13" s="15" customFormat="1" ht="12.75">
      <c r="A47" s="3" t="s">
        <v>19</v>
      </c>
      <c r="B47" s="30"/>
      <c r="C47" s="357">
        <v>127680.3918</v>
      </c>
      <c r="D47" s="30">
        <v>2915.67</v>
      </c>
      <c r="E47" s="357">
        <f>SUM(E12:E46)</f>
        <v>124614.22799999997</v>
      </c>
      <c r="F47" s="357">
        <v>126298.409247</v>
      </c>
      <c r="G47" s="357">
        <f t="shared" si="0"/>
        <v>1231.4887529999687</v>
      </c>
      <c r="H47" s="660"/>
      <c r="I47" s="660"/>
      <c r="J47" s="660"/>
      <c r="K47" s="660"/>
      <c r="L47" s="660"/>
      <c r="M47" s="31"/>
    </row>
    <row r="48" spans="1:13" ht="12.75">
      <c r="A48" s="21" t="s">
        <v>749</v>
      </c>
      <c r="B48" s="22"/>
      <c r="C48" s="22"/>
      <c r="D48" s="358"/>
      <c r="E48" s="22"/>
      <c r="F48" s="358"/>
      <c r="G48" s="358"/>
      <c r="H48" s="22"/>
      <c r="I48" s="22"/>
      <c r="J48" s="22"/>
      <c r="K48" s="22"/>
      <c r="L48" s="22"/>
      <c r="M48" s="22"/>
    </row>
    <row r="49" spans="1:13" ht="15.75" customHeight="1">
      <c r="A49" s="15"/>
      <c r="B49" s="15"/>
      <c r="C49" s="345"/>
      <c r="D49" s="345"/>
      <c r="E49" s="15" t="s">
        <v>11</v>
      </c>
      <c r="F49" s="345"/>
      <c r="G49" s="345"/>
      <c r="H49" s="15"/>
      <c r="I49" s="345"/>
      <c r="J49" s="15"/>
      <c r="K49" s="15"/>
      <c r="L49" s="15"/>
      <c r="M49" s="15"/>
    </row>
    <row r="50" spans="1:13" ht="18" customHeight="1">
      <c r="A50" s="83"/>
      <c r="B50" s="83"/>
      <c r="C50" s="748" t="s">
        <v>1021</v>
      </c>
      <c r="D50" s="748"/>
      <c r="E50" s="748"/>
      <c r="F50" s="748"/>
      <c r="G50" s="16"/>
      <c r="I50" s="748" t="s">
        <v>1024</v>
      </c>
      <c r="J50" s="748"/>
      <c r="K50" s="748"/>
      <c r="L50" s="83"/>
      <c r="M50" s="121"/>
    </row>
    <row r="51" spans="1:13" ht="12.75" customHeight="1">
      <c r="A51" s="83"/>
      <c r="B51" s="83"/>
      <c r="C51" s="748" t="s">
        <v>1022</v>
      </c>
      <c r="D51" s="748"/>
      <c r="E51" s="748"/>
      <c r="F51" s="748"/>
      <c r="G51" s="16"/>
      <c r="I51" s="748" t="s">
        <v>1025</v>
      </c>
      <c r="J51" s="748"/>
      <c r="K51" s="748"/>
      <c r="L51" s="83"/>
      <c r="M51" s="121"/>
    </row>
    <row r="52" spans="1:13" ht="12.75" customHeight="1">
      <c r="A52" s="83"/>
      <c r="B52" s="83"/>
      <c r="C52" s="735" t="s">
        <v>1023</v>
      </c>
      <c r="D52" s="735"/>
      <c r="E52" s="735"/>
      <c r="F52" s="735"/>
      <c r="G52" s="16"/>
      <c r="I52" s="735" t="s">
        <v>1023</v>
      </c>
      <c r="J52" s="735"/>
      <c r="K52" s="735"/>
      <c r="L52" s="83"/>
      <c r="M52" s="121"/>
    </row>
    <row r="53" spans="1:13" ht="12.75">
      <c r="A53" s="15" t="s">
        <v>22</v>
      </c>
      <c r="B53" s="15"/>
      <c r="C53" s="15"/>
      <c r="D53" s="345"/>
      <c r="E53" s="15"/>
      <c r="F53" s="345"/>
      <c r="J53" s="736"/>
      <c r="K53" s="736"/>
      <c r="L53" s="736"/>
      <c r="M53" s="32"/>
    </row>
    <row r="54" ht="12.75">
      <c r="A54" s="15"/>
    </row>
    <row r="55" spans="1:13" ht="12.75">
      <c r="A55" s="531"/>
      <c r="B55" s="531"/>
      <c r="C55" s="531"/>
      <c r="D55" s="532">
        <v>124764.8</v>
      </c>
      <c r="E55" s="532">
        <f>C47-D55</f>
        <v>2915.5917999999947</v>
      </c>
      <c r="F55" s="531"/>
      <c r="G55" s="341">
        <v>119451.48</v>
      </c>
      <c r="H55" s="532">
        <f>H47-G55</f>
        <v>-119451.48</v>
      </c>
      <c r="I55" s="531"/>
      <c r="J55" s="531"/>
      <c r="K55" s="531"/>
      <c r="L55" s="531"/>
      <c r="M55" s="531"/>
    </row>
    <row r="56" spans="3:10" ht="12.75">
      <c r="C56" s="341"/>
      <c r="H56" s="341"/>
      <c r="J56" s="16" t="s">
        <v>11</v>
      </c>
    </row>
    <row r="57" spans="3:8" ht="12.75">
      <c r="C57" s="341"/>
      <c r="H57" s="341"/>
    </row>
    <row r="58" ht="12.75">
      <c r="L58" s="341">
        <f>C47+H49</f>
        <v>127680.3918</v>
      </c>
    </row>
    <row r="59" spans="8:12" ht="12.75">
      <c r="H59" s="341"/>
      <c r="L59" s="341" t="e">
        <f>L58-#REF!</f>
        <v>#REF!</v>
      </c>
    </row>
    <row r="60" spans="5:12" ht="12.75">
      <c r="E60" s="341">
        <f>C47-D47</f>
        <v>124764.7218</v>
      </c>
      <c r="L60" s="16" t="e">
        <f>L59*750/100000</f>
        <v>#REF!</v>
      </c>
    </row>
    <row r="61" spans="5:12" ht="12.75">
      <c r="E61" s="341">
        <f>121839.44-119451.48</f>
        <v>2387.9600000000064</v>
      </c>
      <c r="L61" s="16">
        <f>124764.8+119451.48</f>
        <v>244216.28</v>
      </c>
    </row>
  </sheetData>
  <sheetProtection/>
  <mergeCells count="16">
    <mergeCell ref="J53:L53"/>
    <mergeCell ref="C9:G9"/>
    <mergeCell ref="H9:L9"/>
    <mergeCell ref="I8:L8"/>
    <mergeCell ref="A3:L3"/>
    <mergeCell ref="C50:F50"/>
    <mergeCell ref="I50:K50"/>
    <mergeCell ref="C51:F51"/>
    <mergeCell ref="I51:K51"/>
    <mergeCell ref="C52:F52"/>
    <mergeCell ref="I52:K52"/>
    <mergeCell ref="A2:L2"/>
    <mergeCell ref="A5:L5"/>
    <mergeCell ref="F7:L7"/>
    <mergeCell ref="A9:A10"/>
    <mergeCell ref="B9:B10"/>
  </mergeCells>
  <printOptions horizontalCentered="1"/>
  <pageMargins left="0.7086614173228347" right="0.7086614173228347" top="0.2362204724409449" bottom="0" header="0.21" footer="0.31496062992125984"/>
  <pageSetup fitToHeight="1" fitToWidth="1" horizontalDpi="600" verticalDpi="600" orientation="landscape" paperSize="9" scale="78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120" zoomScaleSheetLayoutView="120" zoomScalePageLayoutView="0" workbookViewId="0" topLeftCell="A44">
      <selection activeCell="A1" sqref="A1:D66"/>
    </sheetView>
  </sheetViews>
  <sheetFormatPr defaultColWidth="9.140625" defaultRowHeight="12.75"/>
  <cols>
    <col min="1" max="1" width="8.7109375" style="0" customWidth="1"/>
    <col min="2" max="2" width="11.00390625" style="0" customWidth="1"/>
    <col min="3" max="3" width="114.57421875" style="0" customWidth="1"/>
  </cols>
  <sheetData>
    <row r="1" spans="1:7" ht="21.75" customHeight="1">
      <c r="A1" s="691" t="s">
        <v>573</v>
      </c>
      <c r="B1" s="691"/>
      <c r="C1" s="691"/>
      <c r="D1" s="691"/>
      <c r="E1" s="294"/>
      <c r="F1" s="294"/>
      <c r="G1" s="294"/>
    </row>
    <row r="2" spans="1:3" ht="12.75">
      <c r="A2" s="3" t="s">
        <v>74</v>
      </c>
      <c r="B2" s="3" t="s">
        <v>574</v>
      </c>
      <c r="C2" s="3" t="s">
        <v>575</v>
      </c>
    </row>
    <row r="3" spans="1:3" ht="12.75">
      <c r="A3" s="8">
        <v>1</v>
      </c>
      <c r="B3" s="295" t="s">
        <v>576</v>
      </c>
      <c r="C3" s="295" t="s">
        <v>784</v>
      </c>
    </row>
    <row r="4" spans="1:3" ht="12.75">
      <c r="A4" s="8">
        <v>2</v>
      </c>
      <c r="B4" s="295" t="s">
        <v>577</v>
      </c>
      <c r="C4" s="295" t="s">
        <v>785</v>
      </c>
    </row>
    <row r="5" spans="1:3" ht="12.75">
      <c r="A5" s="8">
        <v>3</v>
      </c>
      <c r="B5" s="295" t="s">
        <v>578</v>
      </c>
      <c r="C5" s="295" t="s">
        <v>786</v>
      </c>
    </row>
    <row r="6" spans="1:3" ht="12.75">
      <c r="A6" s="8">
        <v>4</v>
      </c>
      <c r="B6" s="295" t="s">
        <v>579</v>
      </c>
      <c r="C6" s="295" t="s">
        <v>787</v>
      </c>
    </row>
    <row r="7" spans="1:3" ht="12.75">
      <c r="A7" s="8">
        <v>5</v>
      </c>
      <c r="B7" s="295" t="s">
        <v>580</v>
      </c>
      <c r="C7" s="295" t="s">
        <v>788</v>
      </c>
    </row>
    <row r="8" spans="1:3" ht="12.75">
      <c r="A8" s="8">
        <v>6</v>
      </c>
      <c r="B8" s="295" t="s">
        <v>581</v>
      </c>
      <c r="C8" s="295" t="s">
        <v>789</v>
      </c>
    </row>
    <row r="9" spans="1:3" ht="12.75">
      <c r="A9" s="8">
        <v>7</v>
      </c>
      <c r="B9" s="295" t="s">
        <v>582</v>
      </c>
      <c r="C9" s="295" t="s">
        <v>790</v>
      </c>
    </row>
    <row r="10" spans="1:3" ht="12.75">
      <c r="A10" s="8">
        <v>8</v>
      </c>
      <c r="B10" s="295" t="s">
        <v>583</v>
      </c>
      <c r="C10" s="295" t="s">
        <v>791</v>
      </c>
    </row>
    <row r="11" spans="1:3" ht="12.75">
      <c r="A11" s="8">
        <v>9</v>
      </c>
      <c r="B11" s="295" t="s">
        <v>584</v>
      </c>
      <c r="C11" s="295" t="s">
        <v>585</v>
      </c>
    </row>
    <row r="12" spans="1:3" ht="12.75">
      <c r="A12" s="8">
        <v>10</v>
      </c>
      <c r="B12" s="295" t="s">
        <v>778</v>
      </c>
      <c r="C12" s="295" t="s">
        <v>779</v>
      </c>
    </row>
    <row r="13" spans="1:3" ht="12.75">
      <c r="A13" s="8">
        <v>11</v>
      </c>
      <c r="B13" s="295" t="s">
        <v>586</v>
      </c>
      <c r="C13" s="295" t="s">
        <v>792</v>
      </c>
    </row>
    <row r="14" spans="1:3" ht="12.75">
      <c r="A14" s="8">
        <v>12</v>
      </c>
      <c r="B14" s="295" t="s">
        <v>587</v>
      </c>
      <c r="C14" s="295" t="s">
        <v>793</v>
      </c>
    </row>
    <row r="15" spans="1:3" ht="12.75">
      <c r="A15" s="8">
        <v>13</v>
      </c>
      <c r="B15" s="295" t="s">
        <v>588</v>
      </c>
      <c r="C15" s="295" t="s">
        <v>794</v>
      </c>
    </row>
    <row r="16" spans="1:3" ht="12.75">
      <c r="A16" s="8">
        <v>14</v>
      </c>
      <c r="B16" s="295" t="s">
        <v>589</v>
      </c>
      <c r="C16" s="295" t="s">
        <v>795</v>
      </c>
    </row>
    <row r="17" spans="1:3" ht="12.75">
      <c r="A17" s="8">
        <v>15</v>
      </c>
      <c r="B17" s="295" t="s">
        <v>590</v>
      </c>
      <c r="C17" s="295" t="s">
        <v>783</v>
      </c>
    </row>
    <row r="18" spans="1:3" ht="12.75">
      <c r="A18" s="8">
        <v>16</v>
      </c>
      <c r="B18" s="295" t="s">
        <v>591</v>
      </c>
      <c r="C18" s="295" t="s">
        <v>796</v>
      </c>
    </row>
    <row r="19" spans="1:3" ht="12.75">
      <c r="A19" s="8">
        <v>17</v>
      </c>
      <c r="B19" s="295" t="s">
        <v>592</v>
      </c>
      <c r="C19" s="295" t="s">
        <v>797</v>
      </c>
    </row>
    <row r="20" spans="1:3" ht="12.75">
      <c r="A20" s="8">
        <v>18</v>
      </c>
      <c r="B20" s="295" t="s">
        <v>593</v>
      </c>
      <c r="C20" s="295" t="s">
        <v>798</v>
      </c>
    </row>
    <row r="21" spans="1:3" ht="12.75">
      <c r="A21" s="8">
        <v>19</v>
      </c>
      <c r="B21" s="295" t="s">
        <v>594</v>
      </c>
      <c r="C21" s="295" t="s">
        <v>799</v>
      </c>
    </row>
    <row r="22" spans="1:3" ht="12.75">
      <c r="A22" s="8">
        <v>20</v>
      </c>
      <c r="B22" s="295" t="s">
        <v>595</v>
      </c>
      <c r="C22" s="295" t="s">
        <v>800</v>
      </c>
    </row>
    <row r="23" spans="1:3" ht="12.75">
      <c r="A23" s="8">
        <v>21</v>
      </c>
      <c r="B23" s="295" t="s">
        <v>596</v>
      </c>
      <c r="C23" s="295" t="s">
        <v>801</v>
      </c>
    </row>
    <row r="24" spans="1:3" ht="12.75">
      <c r="A24" s="8">
        <v>22</v>
      </c>
      <c r="B24" s="295" t="s">
        <v>597</v>
      </c>
      <c r="C24" s="295" t="s">
        <v>598</v>
      </c>
    </row>
    <row r="25" spans="1:3" ht="12.75">
      <c r="A25" s="8">
        <v>23</v>
      </c>
      <c r="B25" s="295" t="s">
        <v>599</v>
      </c>
      <c r="C25" s="295" t="s">
        <v>600</v>
      </c>
    </row>
    <row r="26" spans="1:3" ht="12.75">
      <c r="A26" s="8">
        <v>24</v>
      </c>
      <c r="B26" s="295" t="s">
        <v>601</v>
      </c>
      <c r="C26" s="295" t="s">
        <v>802</v>
      </c>
    </row>
    <row r="27" spans="1:3" ht="12.75">
      <c r="A27" s="8">
        <v>25</v>
      </c>
      <c r="B27" s="295" t="s">
        <v>602</v>
      </c>
      <c r="C27" s="295" t="s">
        <v>803</v>
      </c>
    </row>
    <row r="28" spans="1:3" ht="12.75">
      <c r="A28" s="8">
        <v>26</v>
      </c>
      <c r="B28" s="295" t="s">
        <v>603</v>
      </c>
      <c r="C28" s="295" t="s">
        <v>804</v>
      </c>
    </row>
    <row r="29" spans="1:3" ht="12.75">
      <c r="A29" s="8">
        <v>27</v>
      </c>
      <c r="B29" s="295" t="s">
        <v>604</v>
      </c>
      <c r="C29" s="295" t="s">
        <v>605</v>
      </c>
    </row>
    <row r="30" spans="1:3" ht="12.75">
      <c r="A30" s="8">
        <v>28</v>
      </c>
      <c r="B30" s="295" t="s">
        <v>606</v>
      </c>
      <c r="C30" s="295" t="s">
        <v>607</v>
      </c>
    </row>
    <row r="31" spans="1:3" ht="12.75">
      <c r="A31" s="8">
        <v>29</v>
      </c>
      <c r="B31" s="295" t="s">
        <v>608</v>
      </c>
      <c r="C31" s="295" t="s">
        <v>609</v>
      </c>
    </row>
    <row r="32" spans="1:3" ht="12.75">
      <c r="A32" s="8">
        <v>30</v>
      </c>
      <c r="B32" s="295" t="s">
        <v>777</v>
      </c>
      <c r="C32" s="295" t="s">
        <v>776</v>
      </c>
    </row>
    <row r="33" spans="1:3" ht="12.75">
      <c r="A33" s="8">
        <v>31</v>
      </c>
      <c r="B33" s="295" t="s">
        <v>859</v>
      </c>
      <c r="C33" s="295" t="s">
        <v>860</v>
      </c>
    </row>
    <row r="34" spans="1:3" ht="12.75">
      <c r="A34" s="8">
        <v>32</v>
      </c>
      <c r="B34" s="295" t="s">
        <v>610</v>
      </c>
      <c r="C34" s="295" t="s">
        <v>611</v>
      </c>
    </row>
    <row r="35" spans="1:3" ht="12.75">
      <c r="A35" s="8">
        <v>33</v>
      </c>
      <c r="B35" s="295" t="s">
        <v>612</v>
      </c>
      <c r="C35" s="295" t="s">
        <v>611</v>
      </c>
    </row>
    <row r="36" spans="1:3" ht="12.75">
      <c r="A36" s="8">
        <v>34</v>
      </c>
      <c r="B36" s="295" t="s">
        <v>613</v>
      </c>
      <c r="C36" s="295" t="s">
        <v>614</v>
      </c>
    </row>
    <row r="37" spans="1:3" ht="12.75">
      <c r="A37" s="8">
        <v>35</v>
      </c>
      <c r="B37" s="295" t="s">
        <v>615</v>
      </c>
      <c r="C37" s="295" t="s">
        <v>616</v>
      </c>
    </row>
    <row r="38" spans="1:3" ht="12.75">
      <c r="A38" s="8">
        <v>36</v>
      </c>
      <c r="B38" s="295" t="s">
        <v>617</v>
      </c>
      <c r="C38" s="295" t="s">
        <v>618</v>
      </c>
    </row>
    <row r="39" spans="1:3" ht="12.75">
      <c r="A39" s="8">
        <v>37</v>
      </c>
      <c r="B39" s="295" t="s">
        <v>619</v>
      </c>
      <c r="C39" s="295" t="s">
        <v>620</v>
      </c>
    </row>
    <row r="40" spans="1:3" ht="12.75">
      <c r="A40" s="8">
        <v>38</v>
      </c>
      <c r="B40" s="295" t="s">
        <v>621</v>
      </c>
      <c r="C40" s="295" t="s">
        <v>622</v>
      </c>
    </row>
    <row r="41" spans="1:3" ht="12.75">
      <c r="A41" s="8">
        <v>39</v>
      </c>
      <c r="B41" s="295" t="s">
        <v>623</v>
      </c>
      <c r="C41" s="295" t="s">
        <v>624</v>
      </c>
    </row>
    <row r="42" spans="1:3" ht="12.75">
      <c r="A42" s="8">
        <v>40</v>
      </c>
      <c r="B42" s="295" t="s">
        <v>625</v>
      </c>
      <c r="C42" s="295" t="s">
        <v>626</v>
      </c>
    </row>
    <row r="43" spans="1:3" ht="12.75">
      <c r="A43" s="8">
        <v>41</v>
      </c>
      <c r="B43" s="295" t="s">
        <v>627</v>
      </c>
      <c r="C43" s="295" t="s">
        <v>805</v>
      </c>
    </row>
    <row r="44" spans="1:3" ht="12.75">
      <c r="A44" s="8">
        <v>42</v>
      </c>
      <c r="B44" s="295" t="s">
        <v>628</v>
      </c>
      <c r="C44" s="295" t="s">
        <v>629</v>
      </c>
    </row>
    <row r="45" spans="1:3" ht="12.75">
      <c r="A45" s="8">
        <v>43</v>
      </c>
      <c r="B45" s="295" t="s">
        <v>630</v>
      </c>
      <c r="C45" s="295" t="s">
        <v>631</v>
      </c>
    </row>
    <row r="46" spans="1:3" ht="12.75">
      <c r="A46" s="8">
        <v>44</v>
      </c>
      <c r="B46" s="295" t="s">
        <v>632</v>
      </c>
      <c r="C46" s="295" t="s">
        <v>633</v>
      </c>
    </row>
    <row r="47" spans="1:3" ht="12.75">
      <c r="A47" s="8">
        <v>45</v>
      </c>
      <c r="B47" s="295" t="s">
        <v>634</v>
      </c>
      <c r="C47" s="295" t="s">
        <v>635</v>
      </c>
    </row>
    <row r="48" spans="1:3" ht="12.75">
      <c r="A48" s="8">
        <v>46</v>
      </c>
      <c r="B48" s="295" t="s">
        <v>636</v>
      </c>
      <c r="C48" s="295" t="s">
        <v>637</v>
      </c>
    </row>
    <row r="49" spans="1:3" ht="12.75">
      <c r="A49" s="8">
        <v>47</v>
      </c>
      <c r="B49" s="295" t="s">
        <v>638</v>
      </c>
      <c r="C49" s="295" t="s">
        <v>806</v>
      </c>
    </row>
    <row r="50" spans="1:3" ht="12.75">
      <c r="A50" s="8">
        <v>48</v>
      </c>
      <c r="B50" s="295" t="s">
        <v>639</v>
      </c>
      <c r="C50" s="295" t="s">
        <v>807</v>
      </c>
    </row>
    <row r="51" spans="1:3" ht="12.75">
      <c r="A51" s="8">
        <v>49</v>
      </c>
      <c r="B51" s="295" t="s">
        <v>640</v>
      </c>
      <c r="C51" s="295" t="s">
        <v>641</v>
      </c>
    </row>
    <row r="52" spans="1:3" ht="12.75">
      <c r="A52" s="8">
        <v>50</v>
      </c>
      <c r="B52" s="295" t="s">
        <v>642</v>
      </c>
      <c r="C52" s="295" t="s">
        <v>643</v>
      </c>
    </row>
    <row r="53" spans="1:3" ht="12.75">
      <c r="A53" s="8">
        <v>51</v>
      </c>
      <c r="B53" s="295" t="s">
        <v>644</v>
      </c>
      <c r="C53" s="295" t="s">
        <v>839</v>
      </c>
    </row>
    <row r="54" spans="1:3" ht="12.75">
      <c r="A54" s="8">
        <v>52</v>
      </c>
      <c r="B54" s="295" t="s">
        <v>645</v>
      </c>
      <c r="C54" s="295" t="s">
        <v>808</v>
      </c>
    </row>
    <row r="55" spans="1:3" ht="12.75">
      <c r="A55" s="8">
        <v>53</v>
      </c>
      <c r="B55" s="295" t="s">
        <v>646</v>
      </c>
      <c r="C55" s="295" t="s">
        <v>809</v>
      </c>
    </row>
    <row r="56" spans="1:3" ht="12.75">
      <c r="A56" s="8">
        <v>54</v>
      </c>
      <c r="B56" s="295" t="s">
        <v>647</v>
      </c>
      <c r="C56" s="295" t="s">
        <v>810</v>
      </c>
    </row>
    <row r="57" spans="1:3" ht="12.75">
      <c r="A57" s="8">
        <v>55</v>
      </c>
      <c r="B57" s="295" t="s">
        <v>648</v>
      </c>
      <c r="C57" s="295" t="s">
        <v>811</v>
      </c>
    </row>
    <row r="58" spans="1:3" ht="12.75">
      <c r="A58" s="8">
        <v>56</v>
      </c>
      <c r="B58" s="295" t="s">
        <v>649</v>
      </c>
      <c r="C58" s="295" t="s">
        <v>812</v>
      </c>
    </row>
    <row r="59" spans="1:3" ht="12.75">
      <c r="A59" s="8">
        <v>57</v>
      </c>
      <c r="B59" s="295" t="s">
        <v>650</v>
      </c>
      <c r="C59" s="295" t="s">
        <v>813</v>
      </c>
    </row>
    <row r="60" spans="1:3" ht="12.75">
      <c r="A60" s="8">
        <v>58</v>
      </c>
      <c r="B60" s="295" t="s">
        <v>651</v>
      </c>
      <c r="C60" s="295" t="s">
        <v>814</v>
      </c>
    </row>
    <row r="61" spans="1:3" ht="12.75">
      <c r="A61" s="8">
        <v>59</v>
      </c>
      <c r="B61" s="295" t="s">
        <v>652</v>
      </c>
      <c r="C61" s="295" t="s">
        <v>815</v>
      </c>
    </row>
    <row r="62" spans="1:3" ht="12.75">
      <c r="A62" s="8">
        <v>60</v>
      </c>
      <c r="B62" s="295" t="s">
        <v>653</v>
      </c>
      <c r="C62" s="295" t="s">
        <v>816</v>
      </c>
    </row>
    <row r="63" spans="1:3" ht="12.75">
      <c r="A63" s="8">
        <v>61</v>
      </c>
      <c r="B63" s="295" t="s">
        <v>654</v>
      </c>
      <c r="C63" s="295" t="s">
        <v>817</v>
      </c>
    </row>
    <row r="64" spans="1:3" ht="12.75">
      <c r="A64" s="8">
        <v>62</v>
      </c>
      <c r="B64" s="295" t="s">
        <v>655</v>
      </c>
      <c r="C64" s="295" t="s">
        <v>818</v>
      </c>
    </row>
    <row r="65" spans="1:3" ht="12.75">
      <c r="A65" s="8">
        <v>63</v>
      </c>
      <c r="B65" s="316" t="s">
        <v>780</v>
      </c>
      <c r="C65" s="316" t="s">
        <v>781</v>
      </c>
    </row>
    <row r="66" spans="1:3" ht="12.75">
      <c r="A66" s="8">
        <v>64</v>
      </c>
      <c r="B66" s="316" t="s">
        <v>782</v>
      </c>
      <c r="C66" s="316" t="s">
        <v>783</v>
      </c>
    </row>
  </sheetData>
  <sheetProtection/>
  <mergeCells count="1">
    <mergeCell ref="A1:D1"/>
  </mergeCells>
  <printOptions horizontalCentered="1"/>
  <pageMargins left="0.708661417322835" right="0.31" top="1.21" bottom="0" header="0.25" footer="0.1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view="pageBreakPreview" zoomScale="90" zoomScaleSheetLayoutView="90" zoomScalePageLayoutView="0" workbookViewId="0" topLeftCell="A4">
      <selection activeCell="C51" sqref="C51:K53"/>
    </sheetView>
  </sheetViews>
  <sheetFormatPr defaultColWidth="9.140625" defaultRowHeight="12.75"/>
  <cols>
    <col min="1" max="1" width="6.00390625" style="16" customWidth="1"/>
    <col min="2" max="2" width="11.421875" style="16" customWidth="1"/>
    <col min="3" max="3" width="10.57421875" style="16" customWidth="1"/>
    <col min="4" max="4" width="9.8515625" style="341" customWidth="1"/>
    <col min="5" max="5" width="10.8515625" style="16" customWidth="1"/>
    <col min="6" max="6" width="10.8515625" style="341" customWidth="1"/>
    <col min="7" max="7" width="11.8515625" style="16" customWidth="1"/>
    <col min="8" max="8" width="12.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3.7109375" style="16" customWidth="1"/>
    <col min="13" max="13" width="9.140625" style="16" hidden="1" customWidth="1"/>
    <col min="14" max="16384" width="9.140625" style="16" customWidth="1"/>
  </cols>
  <sheetData>
    <row r="1" spans="4:12" ht="12.75">
      <c r="D1" s="354"/>
      <c r="E1" s="36"/>
      <c r="F1" s="354"/>
      <c r="G1" s="36"/>
      <c r="H1" s="36"/>
      <c r="I1" s="36"/>
      <c r="J1" s="134" t="s">
        <v>72</v>
      </c>
      <c r="K1" s="134"/>
      <c r="L1" s="134"/>
    </row>
    <row r="2" spans="1:13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45"/>
    </row>
    <row r="3" spans="1:13" ht="20.25">
      <c r="A3" s="843" t="s">
        <v>656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44"/>
    </row>
    <row r="4" spans="4:6" ht="10.5" customHeight="1">
      <c r="D4" s="343"/>
      <c r="F4" s="343"/>
    </row>
    <row r="5" spans="1:12" ht="19.5" customHeight="1">
      <c r="A5" s="840" t="s">
        <v>752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</row>
    <row r="6" spans="1:12" ht="12.75">
      <c r="A6" s="23"/>
      <c r="B6" s="23"/>
      <c r="C6" s="23"/>
      <c r="D6" s="355"/>
      <c r="E6" s="23"/>
      <c r="F6" s="355"/>
      <c r="G6" s="23"/>
      <c r="H6" s="23"/>
      <c r="I6" s="23"/>
      <c r="J6" s="23"/>
      <c r="K6" s="23"/>
      <c r="L6" s="23"/>
    </row>
    <row r="7" spans="1:12" ht="12.75">
      <c r="A7" s="36" t="s">
        <v>1005</v>
      </c>
      <c r="B7" s="36"/>
      <c r="C7" s="15"/>
      <c r="F7" s="841" t="s">
        <v>20</v>
      </c>
      <c r="G7" s="841"/>
      <c r="H7" s="841"/>
      <c r="I7" s="841"/>
      <c r="J7" s="841"/>
      <c r="K7" s="841"/>
      <c r="L7" s="841"/>
    </row>
    <row r="8" spans="1:12" ht="12.75">
      <c r="A8" s="15"/>
      <c r="F8" s="409"/>
      <c r="G8" s="99"/>
      <c r="H8" s="99"/>
      <c r="I8" s="804" t="s">
        <v>822</v>
      </c>
      <c r="J8" s="804"/>
      <c r="K8" s="804"/>
      <c r="L8" s="804"/>
    </row>
    <row r="9" spans="1:14" s="15" customFormat="1" ht="12.75">
      <c r="A9" s="709" t="s">
        <v>2</v>
      </c>
      <c r="B9" s="709" t="s">
        <v>3</v>
      </c>
      <c r="C9" s="696" t="s">
        <v>21</v>
      </c>
      <c r="D9" s="697"/>
      <c r="E9" s="697"/>
      <c r="F9" s="697"/>
      <c r="G9" s="697"/>
      <c r="H9" s="696" t="s">
        <v>42</v>
      </c>
      <c r="I9" s="697"/>
      <c r="J9" s="697"/>
      <c r="K9" s="697"/>
      <c r="L9" s="697"/>
      <c r="N9" s="31"/>
    </row>
    <row r="10" spans="1:12" s="15" customFormat="1" ht="77.25" customHeight="1">
      <c r="A10" s="709"/>
      <c r="B10" s="709"/>
      <c r="C10" s="5" t="s">
        <v>673</v>
      </c>
      <c r="D10" s="356" t="s">
        <v>675</v>
      </c>
      <c r="E10" s="5" t="s">
        <v>70</v>
      </c>
      <c r="F10" s="356" t="s">
        <v>71</v>
      </c>
      <c r="G10" s="5" t="s">
        <v>750</v>
      </c>
      <c r="H10" s="5" t="s">
        <v>673</v>
      </c>
      <c r="I10" s="5" t="s">
        <v>675</v>
      </c>
      <c r="J10" s="5" t="s">
        <v>70</v>
      </c>
      <c r="K10" s="5" t="s">
        <v>71</v>
      </c>
      <c r="L10" s="5" t="s">
        <v>751</v>
      </c>
    </row>
    <row r="11" spans="1:12" s="15" customFormat="1" ht="12.75">
      <c r="A11" s="5">
        <v>1</v>
      </c>
      <c r="B11" s="5">
        <v>2</v>
      </c>
      <c r="C11" s="5">
        <v>3</v>
      </c>
      <c r="D11" s="534">
        <v>4</v>
      </c>
      <c r="E11" s="534">
        <v>5</v>
      </c>
      <c r="F11" s="534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328" t="s">
        <v>870</v>
      </c>
      <c r="C12" s="325">
        <v>5549.178599999999</v>
      </c>
      <c r="D12" s="542">
        <v>108.7596650306299</v>
      </c>
      <c r="E12" s="20">
        <v>5699.2</v>
      </c>
      <c r="F12" s="325">
        <v>5621.5722</v>
      </c>
      <c r="G12" s="325">
        <f>D12+E12-F12</f>
        <v>186.38746503062976</v>
      </c>
      <c r="H12" s="535"/>
      <c r="I12" s="28">
        <v>0</v>
      </c>
      <c r="J12" s="28">
        <v>0</v>
      </c>
      <c r="K12" s="28">
        <v>0</v>
      </c>
      <c r="L12" s="28">
        <v>0</v>
      </c>
    </row>
    <row r="13" spans="1:12" ht="12.75">
      <c r="A13" s="19">
        <v>2</v>
      </c>
      <c r="B13" s="328" t="s">
        <v>871</v>
      </c>
      <c r="C13" s="325">
        <v>1853.9774999999997</v>
      </c>
      <c r="D13" s="542">
        <v>36.33654391198089</v>
      </c>
      <c r="E13" s="20">
        <v>1804.31</v>
      </c>
      <c r="F13" s="325">
        <v>1827.5444834999998</v>
      </c>
      <c r="G13" s="325">
        <f aca="true" t="shared" si="0" ref="G13:G47">D13+E13-F13</f>
        <v>13.102060411981029</v>
      </c>
      <c r="H13" s="535"/>
      <c r="I13" s="28">
        <v>0</v>
      </c>
      <c r="J13" s="28">
        <v>0</v>
      </c>
      <c r="K13" s="28">
        <v>0</v>
      </c>
      <c r="L13" s="28">
        <v>0</v>
      </c>
    </row>
    <row r="14" spans="1:12" ht="12.75">
      <c r="A14" s="19">
        <v>3</v>
      </c>
      <c r="B14" s="328" t="s">
        <v>872</v>
      </c>
      <c r="C14" s="325">
        <v>3450.7084499999996</v>
      </c>
      <c r="D14" s="542">
        <v>67.10398626669313</v>
      </c>
      <c r="E14" s="20">
        <v>3331.27</v>
      </c>
      <c r="F14" s="325">
        <v>3402.3990329999997</v>
      </c>
      <c r="G14" s="325">
        <f t="shared" si="0"/>
        <v>-4.025046733306681</v>
      </c>
      <c r="H14" s="535"/>
      <c r="I14" s="28">
        <v>0</v>
      </c>
      <c r="J14" s="28">
        <v>0</v>
      </c>
      <c r="K14" s="28">
        <v>0</v>
      </c>
      <c r="L14" s="28">
        <v>0</v>
      </c>
    </row>
    <row r="15" spans="1:12" ht="12.75">
      <c r="A15" s="19">
        <v>4</v>
      </c>
      <c r="B15" s="328" t="s">
        <v>873</v>
      </c>
      <c r="C15" s="325">
        <v>5242.2192</v>
      </c>
      <c r="D15" s="542">
        <v>102.74349508396372</v>
      </c>
      <c r="E15" s="20">
        <v>4981.73</v>
      </c>
      <c r="F15" s="325">
        <v>5201.974099499999</v>
      </c>
      <c r="G15" s="325">
        <f t="shared" si="0"/>
        <v>-117.50060441603637</v>
      </c>
      <c r="H15" s="535"/>
      <c r="I15" s="28">
        <v>0</v>
      </c>
      <c r="J15" s="28">
        <v>0</v>
      </c>
      <c r="K15" s="28">
        <v>0</v>
      </c>
      <c r="L15" s="28">
        <v>0</v>
      </c>
    </row>
    <row r="16" spans="1:12" ht="12.75">
      <c r="A16" s="19">
        <v>5</v>
      </c>
      <c r="B16" s="328" t="s">
        <v>874</v>
      </c>
      <c r="C16" s="325">
        <v>3814.5128999999997</v>
      </c>
      <c r="D16" s="542">
        <v>73.7088506472813</v>
      </c>
      <c r="E16" s="20">
        <v>3744.06</v>
      </c>
      <c r="F16" s="325">
        <v>3824.9736</v>
      </c>
      <c r="G16" s="325">
        <f t="shared" si="0"/>
        <v>-7.204749352718409</v>
      </c>
      <c r="H16" s="535"/>
      <c r="I16" s="28">
        <v>0</v>
      </c>
      <c r="J16" s="28">
        <v>0</v>
      </c>
      <c r="K16" s="28">
        <v>0</v>
      </c>
      <c r="L16" s="28">
        <v>0</v>
      </c>
    </row>
    <row r="17" spans="1:12" ht="12.75">
      <c r="A17" s="19">
        <v>6</v>
      </c>
      <c r="B17" s="328" t="s">
        <v>875</v>
      </c>
      <c r="C17" s="325">
        <v>1452.9455999999998</v>
      </c>
      <c r="D17" s="542">
        <v>28.47662476816435</v>
      </c>
      <c r="E17" s="325">
        <v>1451</v>
      </c>
      <c r="F17" s="325">
        <v>1462.9267499999999</v>
      </c>
      <c r="G17" s="325">
        <f t="shared" si="0"/>
        <v>16.5498747681645</v>
      </c>
      <c r="H17" s="535"/>
      <c r="I17" s="28">
        <v>0</v>
      </c>
      <c r="J17" s="28">
        <v>0</v>
      </c>
      <c r="K17" s="28">
        <v>0</v>
      </c>
      <c r="L17" s="28">
        <v>0</v>
      </c>
    </row>
    <row r="18" spans="1:12" ht="12.75">
      <c r="A18" s="19">
        <v>7</v>
      </c>
      <c r="B18" s="328" t="s">
        <v>876</v>
      </c>
      <c r="C18" s="325">
        <v>3345.6177</v>
      </c>
      <c r="D18" s="542">
        <v>65.57155330566337</v>
      </c>
      <c r="E18" s="20">
        <v>3324.2</v>
      </c>
      <c r="F18" s="325">
        <v>3328.92762</v>
      </c>
      <c r="G18" s="325">
        <f t="shared" si="0"/>
        <v>60.843933305663086</v>
      </c>
      <c r="H18" s="535"/>
      <c r="I18" s="28">
        <v>0</v>
      </c>
      <c r="J18" s="28">
        <v>0</v>
      </c>
      <c r="K18" s="28">
        <v>0</v>
      </c>
      <c r="L18" s="28">
        <v>0</v>
      </c>
    </row>
    <row r="19" spans="1:12" ht="12.75">
      <c r="A19" s="19">
        <v>8</v>
      </c>
      <c r="B19" s="328" t="s">
        <v>877</v>
      </c>
      <c r="C19" s="325">
        <v>2059.8714</v>
      </c>
      <c r="D19" s="542">
        <v>40.371907199053695</v>
      </c>
      <c r="E19" s="20">
        <v>2203.77</v>
      </c>
      <c r="F19" s="325">
        <v>2053.382742</v>
      </c>
      <c r="G19" s="325">
        <f t="shared" si="0"/>
        <v>190.75916519905377</v>
      </c>
      <c r="H19" s="535"/>
      <c r="I19" s="28">
        <v>0</v>
      </c>
      <c r="J19" s="28">
        <v>0</v>
      </c>
      <c r="K19" s="28">
        <v>0</v>
      </c>
      <c r="L19" s="28">
        <v>0</v>
      </c>
    </row>
    <row r="20" spans="1:12" ht="12.75">
      <c r="A20" s="19">
        <v>9</v>
      </c>
      <c r="B20" s="328" t="s">
        <v>878</v>
      </c>
      <c r="C20" s="325">
        <v>2587.0991999999997</v>
      </c>
      <c r="D20" s="542">
        <v>49.95613975132023</v>
      </c>
      <c r="E20" s="20">
        <v>2793.24</v>
      </c>
      <c r="F20" s="325">
        <v>2704.5053999999996</v>
      </c>
      <c r="G20" s="325">
        <f t="shared" si="0"/>
        <v>138.6907397513205</v>
      </c>
      <c r="H20" s="535"/>
      <c r="I20" s="28">
        <v>0</v>
      </c>
      <c r="J20" s="28">
        <v>0</v>
      </c>
      <c r="K20" s="28">
        <v>0</v>
      </c>
      <c r="L20" s="28">
        <v>0</v>
      </c>
    </row>
    <row r="21" spans="1:12" ht="12.75">
      <c r="A21" s="19">
        <v>10</v>
      </c>
      <c r="B21" s="328" t="s">
        <v>879</v>
      </c>
      <c r="C21" s="325">
        <v>1055.4434999999999</v>
      </c>
      <c r="D21" s="542">
        <v>20.68588701015239</v>
      </c>
      <c r="E21" s="20">
        <v>1027.21</v>
      </c>
      <c r="F21" s="325">
        <v>1051.6837274999998</v>
      </c>
      <c r="G21" s="325">
        <f t="shared" si="0"/>
        <v>-3.78784048984744</v>
      </c>
      <c r="H21" s="535"/>
      <c r="I21" s="28">
        <v>0</v>
      </c>
      <c r="J21" s="28">
        <v>0</v>
      </c>
      <c r="K21" s="28">
        <v>0</v>
      </c>
      <c r="L21" s="28">
        <v>0</v>
      </c>
    </row>
    <row r="22" spans="1:12" ht="12.75">
      <c r="A22" s="19">
        <v>11</v>
      </c>
      <c r="B22" s="328" t="s">
        <v>880</v>
      </c>
      <c r="C22" s="325">
        <v>1487.4443999999999</v>
      </c>
      <c r="D22" s="542">
        <v>29.15277491621666</v>
      </c>
      <c r="E22" s="20">
        <v>1639.74</v>
      </c>
      <c r="F22" s="325">
        <v>1484.5962195</v>
      </c>
      <c r="G22" s="325">
        <f t="shared" si="0"/>
        <v>184.29655541621673</v>
      </c>
      <c r="H22" s="535"/>
      <c r="I22" s="28">
        <v>0</v>
      </c>
      <c r="J22" s="28">
        <v>0</v>
      </c>
      <c r="K22" s="28">
        <v>0</v>
      </c>
      <c r="L22" s="28">
        <v>0</v>
      </c>
    </row>
    <row r="23" spans="1:12" ht="12.75">
      <c r="A23" s="19">
        <v>12</v>
      </c>
      <c r="B23" s="328" t="s">
        <v>881</v>
      </c>
      <c r="C23" s="325">
        <v>1278.5867999999998</v>
      </c>
      <c r="D23" s="542">
        <v>25.059325371251337</v>
      </c>
      <c r="E23" s="20">
        <v>1244.03</v>
      </c>
      <c r="F23" s="325">
        <v>1306.44075</v>
      </c>
      <c r="G23" s="325">
        <f t="shared" si="0"/>
        <v>-37.351424628748646</v>
      </c>
      <c r="H23" s="535"/>
      <c r="I23" s="28">
        <v>0</v>
      </c>
      <c r="J23" s="28">
        <v>0</v>
      </c>
      <c r="K23" s="28">
        <v>0</v>
      </c>
      <c r="L23" s="28">
        <v>0</v>
      </c>
    </row>
    <row r="24" spans="1:12" ht="12.75">
      <c r="A24" s="19">
        <v>13</v>
      </c>
      <c r="B24" s="328" t="s">
        <v>882</v>
      </c>
      <c r="C24" s="325">
        <v>4779.929999999999</v>
      </c>
      <c r="D24" s="542">
        <v>92.88057902472968</v>
      </c>
      <c r="E24" s="20">
        <v>5155.04</v>
      </c>
      <c r="F24" s="325">
        <v>4771.858665</v>
      </c>
      <c r="G24" s="325">
        <f t="shared" si="0"/>
        <v>476.06191402472996</v>
      </c>
      <c r="H24" s="535"/>
      <c r="I24" s="28">
        <v>0</v>
      </c>
      <c r="J24" s="28">
        <v>0</v>
      </c>
      <c r="K24" s="28">
        <v>0</v>
      </c>
      <c r="L24" s="28">
        <v>0</v>
      </c>
    </row>
    <row r="25" spans="1:12" ht="12.75">
      <c r="A25" s="19">
        <v>14</v>
      </c>
      <c r="B25" s="328" t="s">
        <v>883</v>
      </c>
      <c r="C25" s="325">
        <v>2612.2185</v>
      </c>
      <c r="D25" s="542">
        <v>51.1974887683043</v>
      </c>
      <c r="E25" s="20">
        <v>2641.28</v>
      </c>
      <c r="F25" s="325">
        <v>2575.3405049999997</v>
      </c>
      <c r="G25" s="325">
        <f t="shared" si="0"/>
        <v>117.13698376830462</v>
      </c>
      <c r="H25" s="535"/>
      <c r="I25" s="28">
        <v>0</v>
      </c>
      <c r="J25" s="28">
        <v>0</v>
      </c>
      <c r="K25" s="28">
        <v>0</v>
      </c>
      <c r="L25" s="28">
        <v>0</v>
      </c>
    </row>
    <row r="26" spans="1:12" ht="12.75">
      <c r="A26" s="19">
        <v>15</v>
      </c>
      <c r="B26" s="328" t="s">
        <v>884</v>
      </c>
      <c r="C26" s="325">
        <v>4731.0309</v>
      </c>
      <c r="D26" s="542">
        <v>92.72459457937784</v>
      </c>
      <c r="E26" s="20">
        <v>4603.12</v>
      </c>
      <c r="F26" s="325">
        <v>4695.20313</v>
      </c>
      <c r="G26" s="325">
        <f t="shared" si="0"/>
        <v>0.641464579377498</v>
      </c>
      <c r="H26" s="535"/>
      <c r="I26" s="28">
        <v>0</v>
      </c>
      <c r="J26" s="28">
        <v>0</v>
      </c>
      <c r="K26" s="28">
        <v>0</v>
      </c>
      <c r="L26" s="28">
        <v>0</v>
      </c>
    </row>
    <row r="27" spans="1:12" ht="12.75">
      <c r="A27" s="19">
        <v>16</v>
      </c>
      <c r="B27" s="328" t="s">
        <v>885</v>
      </c>
      <c r="C27" s="325">
        <v>3278.8178999999996</v>
      </c>
      <c r="D27" s="542">
        <v>64.26232821204086</v>
      </c>
      <c r="E27" s="20">
        <v>3189.72</v>
      </c>
      <c r="F27" s="325">
        <v>3267.483291</v>
      </c>
      <c r="G27" s="325">
        <f t="shared" si="0"/>
        <v>-13.500962787959452</v>
      </c>
      <c r="H27" s="535"/>
      <c r="I27" s="28">
        <v>0</v>
      </c>
      <c r="J27" s="28">
        <v>0</v>
      </c>
      <c r="K27" s="28">
        <v>0</v>
      </c>
      <c r="L27" s="28">
        <v>0</v>
      </c>
    </row>
    <row r="28" spans="1:12" ht="12.75">
      <c r="A28" s="19">
        <v>17</v>
      </c>
      <c r="B28" s="328" t="s">
        <v>886</v>
      </c>
      <c r="C28" s="325">
        <v>9133.7904</v>
      </c>
      <c r="D28" s="542">
        <v>179.01532027892978</v>
      </c>
      <c r="E28" s="20">
        <v>6845.37</v>
      </c>
      <c r="F28" s="325">
        <v>8908.324466999999</v>
      </c>
      <c r="G28" s="325">
        <f t="shared" si="0"/>
        <v>-1883.939146721069</v>
      </c>
      <c r="H28" s="535"/>
      <c r="I28" s="28">
        <v>0</v>
      </c>
      <c r="J28" s="28">
        <v>0</v>
      </c>
      <c r="K28" s="28">
        <v>0</v>
      </c>
      <c r="L28" s="28">
        <v>0</v>
      </c>
    </row>
    <row r="29" spans="1:12" ht="12.75">
      <c r="A29" s="19">
        <v>18</v>
      </c>
      <c r="B29" s="328" t="s">
        <v>887</v>
      </c>
      <c r="C29" s="325">
        <v>4489.7391</v>
      </c>
      <c r="D29" s="542">
        <v>87.99545947051007</v>
      </c>
      <c r="E29" s="20">
        <v>4381.49</v>
      </c>
      <c r="F29" s="325">
        <v>4574.82885</v>
      </c>
      <c r="G29" s="325">
        <f t="shared" si="0"/>
        <v>-105.34339052948962</v>
      </c>
      <c r="H29" s="535"/>
      <c r="I29" s="28">
        <v>0</v>
      </c>
      <c r="J29" s="28">
        <v>0</v>
      </c>
      <c r="K29" s="28">
        <v>0</v>
      </c>
      <c r="L29" s="28">
        <v>0</v>
      </c>
    </row>
    <row r="30" spans="1:12" ht="12.75">
      <c r="A30" s="19">
        <v>19</v>
      </c>
      <c r="B30" s="328" t="s">
        <v>888</v>
      </c>
      <c r="C30" s="325">
        <v>4018.8104999999996</v>
      </c>
      <c r="D30" s="542">
        <v>78.76561835684623</v>
      </c>
      <c r="E30" s="20">
        <v>3810.08</v>
      </c>
      <c r="F30" s="325">
        <v>3963.5344769999997</v>
      </c>
      <c r="G30" s="325">
        <f t="shared" si="0"/>
        <v>-74.68885864315371</v>
      </c>
      <c r="H30" s="535"/>
      <c r="I30" s="28">
        <v>0</v>
      </c>
      <c r="J30" s="28">
        <v>0</v>
      </c>
      <c r="K30" s="28">
        <v>0</v>
      </c>
      <c r="L30" s="28">
        <v>0</v>
      </c>
    </row>
    <row r="31" spans="1:12" ht="12.75">
      <c r="A31" s="19">
        <v>20</v>
      </c>
      <c r="B31" s="328" t="s">
        <v>889</v>
      </c>
      <c r="C31" s="325">
        <v>1672.9587</v>
      </c>
      <c r="D31" s="542">
        <v>32.788713598455466</v>
      </c>
      <c r="E31" s="20">
        <v>2009.44</v>
      </c>
      <c r="F31" s="325">
        <v>1672.8158099999998</v>
      </c>
      <c r="G31" s="325">
        <f t="shared" si="0"/>
        <v>369.4129035984556</v>
      </c>
      <c r="H31" s="535"/>
      <c r="I31" s="28">
        <v>0</v>
      </c>
      <c r="J31" s="28">
        <v>0</v>
      </c>
      <c r="K31" s="28">
        <v>0</v>
      </c>
      <c r="L31" s="28">
        <v>0</v>
      </c>
    </row>
    <row r="32" spans="1:12" ht="12.75">
      <c r="A32" s="19">
        <v>21</v>
      </c>
      <c r="B32" s="328" t="s">
        <v>890</v>
      </c>
      <c r="C32" s="325">
        <v>7017.0426</v>
      </c>
      <c r="D32" s="542">
        <v>137.52867905200608</v>
      </c>
      <c r="E32" s="20">
        <v>6973.37</v>
      </c>
      <c r="F32" s="325">
        <v>6969.384792</v>
      </c>
      <c r="G32" s="325">
        <f t="shared" si="0"/>
        <v>141.51388705200588</v>
      </c>
      <c r="H32" s="535"/>
      <c r="I32" s="28">
        <v>0</v>
      </c>
      <c r="J32" s="28">
        <v>0</v>
      </c>
      <c r="K32" s="28">
        <v>0</v>
      </c>
      <c r="L32" s="28">
        <v>0</v>
      </c>
    </row>
    <row r="33" spans="1:12" ht="12.75">
      <c r="A33" s="19">
        <v>22</v>
      </c>
      <c r="B33" s="328" t="s">
        <v>891</v>
      </c>
      <c r="C33" s="325">
        <v>2149.3484999999996</v>
      </c>
      <c r="D33" s="542">
        <v>42.12559006374147</v>
      </c>
      <c r="E33" s="20">
        <v>2188.18</v>
      </c>
      <c r="F33" s="325">
        <v>2136.0900239999996</v>
      </c>
      <c r="G33" s="325">
        <f t="shared" si="0"/>
        <v>94.21556606374179</v>
      </c>
      <c r="H33" s="535"/>
      <c r="I33" s="28">
        <v>0</v>
      </c>
      <c r="J33" s="28">
        <v>0</v>
      </c>
      <c r="K33" s="28">
        <v>0</v>
      </c>
      <c r="L33" s="28">
        <v>0</v>
      </c>
    </row>
    <row r="34" spans="1:12" ht="12.75">
      <c r="A34" s="19">
        <v>23</v>
      </c>
      <c r="B34" s="328" t="s">
        <v>892</v>
      </c>
      <c r="C34" s="325">
        <v>2687.8727999999996</v>
      </c>
      <c r="D34" s="542">
        <v>51.66805272269204</v>
      </c>
      <c r="E34" s="20">
        <v>2722.36</v>
      </c>
      <c r="F34" s="325">
        <v>2624.775957</v>
      </c>
      <c r="G34" s="325">
        <f t="shared" si="0"/>
        <v>149.2520957226925</v>
      </c>
      <c r="H34" s="535"/>
      <c r="I34" s="28">
        <v>0</v>
      </c>
      <c r="J34" s="28">
        <v>0</v>
      </c>
      <c r="K34" s="28">
        <v>0</v>
      </c>
      <c r="L34" s="28">
        <v>0</v>
      </c>
    </row>
    <row r="35" spans="1:12" ht="12.75">
      <c r="A35" s="19">
        <v>24</v>
      </c>
      <c r="B35" s="328" t="s">
        <v>893</v>
      </c>
      <c r="C35" s="325">
        <v>9801.122399999998</v>
      </c>
      <c r="D35" s="542">
        <v>192.09451812349369</v>
      </c>
      <c r="E35" s="20">
        <v>9996.66</v>
      </c>
      <c r="F35" s="325">
        <v>9696.307040999998</v>
      </c>
      <c r="G35" s="325">
        <f t="shared" si="0"/>
        <v>492.44747712349454</v>
      </c>
      <c r="H35" s="535"/>
      <c r="I35" s="28">
        <v>0</v>
      </c>
      <c r="J35" s="28">
        <v>0</v>
      </c>
      <c r="K35" s="28">
        <v>0</v>
      </c>
      <c r="L35" s="28">
        <v>0</v>
      </c>
    </row>
    <row r="36" spans="1:12" ht="12.75">
      <c r="A36" s="19">
        <v>25</v>
      </c>
      <c r="B36" s="328" t="s">
        <v>894</v>
      </c>
      <c r="C36" s="325">
        <v>2177.9532</v>
      </c>
      <c r="D36" s="542">
        <v>42.6862203505918</v>
      </c>
      <c r="E36" s="20">
        <v>2119.57</v>
      </c>
      <c r="F36" s="325">
        <v>2189.3860499999996</v>
      </c>
      <c r="G36" s="325">
        <f t="shared" si="0"/>
        <v>-27.12982964940784</v>
      </c>
      <c r="H36" s="535"/>
      <c r="I36" s="28">
        <v>0</v>
      </c>
      <c r="J36" s="28">
        <v>0</v>
      </c>
      <c r="K36" s="28">
        <v>0</v>
      </c>
      <c r="L36" s="28">
        <v>0</v>
      </c>
    </row>
    <row r="37" spans="1:12" ht="12.75">
      <c r="A37" s="19">
        <v>26</v>
      </c>
      <c r="B37" s="328" t="s">
        <v>895</v>
      </c>
      <c r="C37" s="325">
        <v>2071.7261999999996</v>
      </c>
      <c r="D37" s="542">
        <v>40.604252230623786</v>
      </c>
      <c r="E37" s="20">
        <v>2016.13</v>
      </c>
      <c r="F37" s="325">
        <v>1906.8176999999998</v>
      </c>
      <c r="G37" s="325">
        <f t="shared" si="0"/>
        <v>149.91655223062412</v>
      </c>
      <c r="H37" s="535"/>
      <c r="I37" s="28">
        <v>0</v>
      </c>
      <c r="J37" s="28">
        <v>0</v>
      </c>
      <c r="K37" s="28">
        <v>0</v>
      </c>
      <c r="L37" s="28">
        <v>0</v>
      </c>
    </row>
    <row r="38" spans="1:12" ht="12.75">
      <c r="A38" s="19">
        <v>27</v>
      </c>
      <c r="B38" s="328" t="s">
        <v>896</v>
      </c>
      <c r="C38" s="325">
        <v>3639.97455</v>
      </c>
      <c r="D38" s="542">
        <v>71.08583187795483</v>
      </c>
      <c r="E38" s="20">
        <v>3583.06</v>
      </c>
      <c r="F38" s="325">
        <v>3622.886469</v>
      </c>
      <c r="G38" s="325">
        <f t="shared" si="0"/>
        <v>31.259362877954572</v>
      </c>
      <c r="H38" s="535"/>
      <c r="I38" s="28">
        <v>0</v>
      </c>
      <c r="J38" s="28">
        <v>0</v>
      </c>
      <c r="K38" s="28">
        <v>0</v>
      </c>
      <c r="L38" s="28">
        <v>0</v>
      </c>
    </row>
    <row r="39" spans="1:12" ht="12.75">
      <c r="A39" s="19">
        <v>28</v>
      </c>
      <c r="B39" s="328" t="s">
        <v>897</v>
      </c>
      <c r="C39" s="325">
        <v>3726.2366999999995</v>
      </c>
      <c r="D39" s="542">
        <v>73.03139519006287</v>
      </c>
      <c r="E39" s="20">
        <v>3726.27</v>
      </c>
      <c r="F39" s="325">
        <v>3468.2322</v>
      </c>
      <c r="G39" s="325">
        <f t="shared" si="0"/>
        <v>331.06919519006306</v>
      </c>
      <c r="H39" s="535"/>
      <c r="I39" s="28">
        <v>0</v>
      </c>
      <c r="J39" s="28">
        <v>0</v>
      </c>
      <c r="K39" s="28">
        <v>0</v>
      </c>
      <c r="L39" s="28">
        <v>0</v>
      </c>
    </row>
    <row r="40" spans="1:12" ht="12.75">
      <c r="A40" s="19">
        <v>29</v>
      </c>
      <c r="B40" s="328" t="s">
        <v>898</v>
      </c>
      <c r="C40" s="325">
        <v>1022.9759999999999</v>
      </c>
      <c r="D40" s="542">
        <v>20.04954879166687</v>
      </c>
      <c r="E40" s="20">
        <v>994.93</v>
      </c>
      <c r="F40" s="325">
        <v>1002.477456</v>
      </c>
      <c r="G40" s="325">
        <f t="shared" si="0"/>
        <v>12.502092791666882</v>
      </c>
      <c r="H40" s="535"/>
      <c r="I40" s="28">
        <v>0</v>
      </c>
      <c r="J40" s="28">
        <v>0</v>
      </c>
      <c r="K40" s="28">
        <v>0</v>
      </c>
      <c r="L40" s="28">
        <v>0</v>
      </c>
    </row>
    <row r="41" spans="1:12" ht="12.75">
      <c r="A41" s="19">
        <v>30</v>
      </c>
      <c r="B41" s="328" t="s">
        <v>899</v>
      </c>
      <c r="C41" s="325">
        <v>5508.585899999999</v>
      </c>
      <c r="D41" s="542">
        <v>107.96407909387725</v>
      </c>
      <c r="E41" s="20">
        <v>5409.71</v>
      </c>
      <c r="F41" s="325">
        <v>5483.5199084999995</v>
      </c>
      <c r="G41" s="325">
        <f t="shared" si="0"/>
        <v>34.15417059387801</v>
      </c>
      <c r="H41" s="535"/>
      <c r="I41" s="28">
        <v>0</v>
      </c>
      <c r="J41" s="28">
        <v>0</v>
      </c>
      <c r="K41" s="28">
        <v>0</v>
      </c>
      <c r="L41" s="28">
        <v>0</v>
      </c>
    </row>
    <row r="42" spans="1:12" ht="12.75">
      <c r="A42" s="19">
        <v>31</v>
      </c>
      <c r="B42" s="328" t="s">
        <v>900</v>
      </c>
      <c r="C42" s="325">
        <v>5477.5116</v>
      </c>
      <c r="D42" s="542">
        <v>106.31155768956407</v>
      </c>
      <c r="E42" s="20">
        <v>4827.64</v>
      </c>
      <c r="F42" s="325">
        <v>5455.650449999999</v>
      </c>
      <c r="G42" s="325">
        <f t="shared" si="0"/>
        <v>-521.6988923104345</v>
      </c>
      <c r="H42" s="535"/>
      <c r="I42" s="28">
        <v>0</v>
      </c>
      <c r="J42" s="28">
        <v>0</v>
      </c>
      <c r="K42" s="28">
        <v>0</v>
      </c>
      <c r="L42" s="28">
        <v>0</v>
      </c>
    </row>
    <row r="43" spans="1:12" ht="12.75">
      <c r="A43" s="19">
        <v>32</v>
      </c>
      <c r="B43" s="328" t="s">
        <v>901</v>
      </c>
      <c r="C43" s="325">
        <v>2727.1034999999997</v>
      </c>
      <c r="D43" s="542">
        <v>53.44914707986843</v>
      </c>
      <c r="E43" s="20">
        <v>2716.19</v>
      </c>
      <c r="F43" s="325">
        <v>2694.5491319999996</v>
      </c>
      <c r="G43" s="325">
        <f t="shared" si="0"/>
        <v>75.09001507986886</v>
      </c>
      <c r="H43" s="535"/>
      <c r="I43" s="28">
        <v>0</v>
      </c>
      <c r="J43" s="28">
        <v>0</v>
      </c>
      <c r="K43" s="28">
        <v>0</v>
      </c>
      <c r="L43" s="28">
        <v>0</v>
      </c>
    </row>
    <row r="44" spans="1:12" ht="12.75">
      <c r="A44" s="19">
        <v>33</v>
      </c>
      <c r="B44" s="328" t="s">
        <v>902</v>
      </c>
      <c r="C44" s="325">
        <v>1493.9045999999998</v>
      </c>
      <c r="D44" s="542">
        <v>29.2793899053307</v>
      </c>
      <c r="E44" s="20">
        <v>1453.08</v>
      </c>
      <c r="F44" s="325">
        <v>1365.0080999999998</v>
      </c>
      <c r="G44" s="325">
        <f t="shared" si="0"/>
        <v>117.35128990533076</v>
      </c>
      <c r="H44" s="535"/>
      <c r="I44" s="28">
        <v>0</v>
      </c>
      <c r="J44" s="28">
        <v>0</v>
      </c>
      <c r="K44" s="28">
        <v>0</v>
      </c>
      <c r="L44" s="28">
        <v>0</v>
      </c>
    </row>
    <row r="45" spans="1:12" ht="12.75">
      <c r="A45" s="19">
        <v>34</v>
      </c>
      <c r="B45" s="328" t="s">
        <v>903</v>
      </c>
      <c r="C45" s="325">
        <v>1499.5656</v>
      </c>
      <c r="D45" s="542">
        <v>29.390341184451255</v>
      </c>
      <c r="E45" s="20">
        <v>1638.84</v>
      </c>
      <c r="F45" s="325">
        <v>1540.8028499999998</v>
      </c>
      <c r="G45" s="325">
        <f t="shared" si="0"/>
        <v>127.42749118445136</v>
      </c>
      <c r="H45" s="535"/>
      <c r="I45" s="28">
        <v>0</v>
      </c>
      <c r="J45" s="28">
        <v>0</v>
      </c>
      <c r="K45" s="28">
        <v>0</v>
      </c>
      <c r="L45" s="28">
        <v>0</v>
      </c>
    </row>
    <row r="46" spans="1:12" ht="12.75">
      <c r="A46" s="19">
        <v>35</v>
      </c>
      <c r="B46" s="328" t="s">
        <v>904</v>
      </c>
      <c r="C46" s="325">
        <v>3221.2754999999997</v>
      </c>
      <c r="D46" s="542">
        <v>63.13454109250959</v>
      </c>
      <c r="E46" s="20">
        <v>3134.1</v>
      </c>
      <c r="F46" s="325">
        <v>3205.7295795</v>
      </c>
      <c r="G46" s="325">
        <f t="shared" si="0"/>
        <v>-8.495038407490483</v>
      </c>
      <c r="H46" s="535"/>
      <c r="I46" s="28">
        <v>0</v>
      </c>
      <c r="J46" s="28">
        <v>0</v>
      </c>
      <c r="K46" s="28">
        <v>0</v>
      </c>
      <c r="L46" s="28">
        <v>0</v>
      </c>
    </row>
    <row r="47" spans="1:12" s="15" customFormat="1" ht="12.75">
      <c r="A47" s="3" t="s">
        <v>19</v>
      </c>
      <c r="B47" s="30"/>
      <c r="C47" s="357">
        <v>122117.1009</v>
      </c>
      <c r="D47" s="543">
        <v>2387.96</v>
      </c>
      <c r="E47" s="334">
        <f>SUM(E12:E46)</f>
        <v>119379.39000000001</v>
      </c>
      <c r="F47" s="543">
        <v>121061.93352899999</v>
      </c>
      <c r="G47" s="357">
        <f t="shared" si="0"/>
        <v>705.4164710000332</v>
      </c>
      <c r="H47" s="535"/>
      <c r="I47" s="353">
        <v>0</v>
      </c>
      <c r="J47" s="353">
        <v>0</v>
      </c>
      <c r="K47" s="353">
        <v>0</v>
      </c>
      <c r="L47" s="353">
        <v>0</v>
      </c>
    </row>
    <row r="48" spans="1:12" ht="12.75">
      <c r="A48" s="21" t="s">
        <v>749</v>
      </c>
      <c r="B48" s="22"/>
      <c r="C48" s="22"/>
      <c r="D48" s="358"/>
      <c r="E48" s="22"/>
      <c r="F48" s="358"/>
      <c r="G48" s="22"/>
      <c r="H48" s="22"/>
      <c r="I48" s="22"/>
      <c r="J48" s="22"/>
      <c r="K48" s="22"/>
      <c r="L48" s="22"/>
    </row>
    <row r="49" spans="1:12" ht="15.75" customHeight="1">
      <c r="A49" s="15"/>
      <c r="B49" s="15"/>
      <c r="C49" s="15"/>
      <c r="D49" s="345"/>
      <c r="E49" s="15"/>
      <c r="F49" s="345"/>
      <c r="G49" s="15"/>
      <c r="H49" s="15"/>
      <c r="I49" s="15"/>
      <c r="J49" s="15"/>
      <c r="K49" s="15"/>
      <c r="L49" s="15"/>
    </row>
    <row r="50" spans="1:12" ht="15.75" customHeight="1">
      <c r="A50" s="15"/>
      <c r="B50" s="15"/>
      <c r="C50" s="748"/>
      <c r="D50" s="748"/>
      <c r="E50" s="83"/>
      <c r="F50" s="83"/>
      <c r="G50" s="748"/>
      <c r="H50" s="748"/>
      <c r="I50" s="15"/>
      <c r="J50" s="15"/>
      <c r="K50" s="15"/>
      <c r="L50" s="15"/>
    </row>
    <row r="51" spans="1:12" ht="14.25" customHeight="1">
      <c r="A51" s="83"/>
      <c r="B51" s="83"/>
      <c r="C51" s="748" t="s">
        <v>1021</v>
      </c>
      <c r="D51" s="748"/>
      <c r="E51" s="748"/>
      <c r="F51" s="748"/>
      <c r="I51" s="748" t="s">
        <v>1024</v>
      </c>
      <c r="J51" s="748"/>
      <c r="K51" s="748"/>
      <c r="L51" s="83"/>
    </row>
    <row r="52" spans="1:12" ht="12.75">
      <c r="A52" s="83"/>
      <c r="B52" s="83"/>
      <c r="C52" s="748" t="s">
        <v>1022</v>
      </c>
      <c r="D52" s="748"/>
      <c r="E52" s="748"/>
      <c r="F52" s="748"/>
      <c r="I52" s="748" t="s">
        <v>1025</v>
      </c>
      <c r="J52" s="748"/>
      <c r="K52" s="748"/>
      <c r="L52" s="83"/>
    </row>
    <row r="53" spans="1:12" ht="12.75">
      <c r="A53" s="83"/>
      <c r="B53" s="83"/>
      <c r="C53" s="735" t="s">
        <v>1023</v>
      </c>
      <c r="D53" s="735"/>
      <c r="E53" s="735"/>
      <c r="F53" s="735"/>
      <c r="I53" s="735" t="s">
        <v>1023</v>
      </c>
      <c r="J53" s="735"/>
      <c r="K53" s="735"/>
      <c r="L53" s="83"/>
    </row>
    <row r="54" spans="1:13" ht="12.75">
      <c r="A54" s="15" t="s">
        <v>22</v>
      </c>
      <c r="B54" s="15"/>
      <c r="C54" s="15"/>
      <c r="D54" s="345"/>
      <c r="E54" s="15"/>
      <c r="F54" s="345"/>
      <c r="J54" s="736"/>
      <c r="K54" s="736"/>
      <c r="L54" s="736"/>
      <c r="M54" s="736"/>
    </row>
    <row r="55" ht="12.75">
      <c r="A55" s="15"/>
    </row>
  </sheetData>
  <sheetProtection/>
  <mergeCells count="18">
    <mergeCell ref="A9:A10"/>
    <mergeCell ref="C50:D50"/>
    <mergeCell ref="G50:H50"/>
    <mergeCell ref="F7:L7"/>
    <mergeCell ref="A2:L2"/>
    <mergeCell ref="A3:L3"/>
    <mergeCell ref="A5:L5"/>
    <mergeCell ref="I8:L8"/>
    <mergeCell ref="C53:F53"/>
    <mergeCell ref="I53:K53"/>
    <mergeCell ref="B9:B10"/>
    <mergeCell ref="C9:G9"/>
    <mergeCell ref="H9:L9"/>
    <mergeCell ref="J54:M54"/>
    <mergeCell ref="C51:F51"/>
    <mergeCell ref="I51:K51"/>
    <mergeCell ref="C52:F52"/>
    <mergeCell ref="I52:K5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SheetLayoutView="7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F48" sqref="F48:I48"/>
    </sheetView>
  </sheetViews>
  <sheetFormatPr defaultColWidth="9.140625" defaultRowHeight="12.75"/>
  <cols>
    <col min="1" max="1" width="5.7109375" style="135" customWidth="1"/>
    <col min="2" max="2" width="12.421875" style="135" customWidth="1"/>
    <col min="3" max="3" width="13.00390625" style="135" customWidth="1"/>
    <col min="4" max="4" width="12.00390625" style="135" customWidth="1"/>
    <col min="5" max="5" width="12.421875" style="135" customWidth="1"/>
    <col min="6" max="6" width="12.7109375" style="135" customWidth="1"/>
    <col min="7" max="7" width="13.140625" style="135" customWidth="1"/>
    <col min="8" max="8" width="12.7109375" style="135" customWidth="1"/>
    <col min="9" max="9" width="12.140625" style="135" customWidth="1"/>
    <col min="10" max="10" width="12.140625" style="263" customWidth="1"/>
    <col min="11" max="11" width="16.57421875" style="135" customWidth="1"/>
    <col min="12" max="12" width="13.140625" style="135" customWidth="1"/>
    <col min="13" max="13" width="12.7109375" style="135" customWidth="1"/>
    <col min="14" max="16384" width="9.140625" style="135" customWidth="1"/>
  </cols>
  <sheetData>
    <row r="1" spans="11:13" ht="12.75">
      <c r="K1" s="731" t="s">
        <v>211</v>
      </c>
      <c r="L1" s="731"/>
      <c r="M1" s="731"/>
    </row>
    <row r="2" ht="12.75" customHeight="1"/>
    <row r="3" spans="2:11" ht="15.75">
      <c r="B3" s="850" t="s">
        <v>0</v>
      </c>
      <c r="C3" s="850"/>
      <c r="D3" s="850"/>
      <c r="E3" s="850"/>
      <c r="F3" s="850"/>
      <c r="G3" s="850"/>
      <c r="H3" s="850"/>
      <c r="I3" s="850"/>
      <c r="J3" s="850"/>
      <c r="K3" s="850"/>
    </row>
    <row r="4" spans="2:11" ht="20.25">
      <c r="B4" s="851" t="s">
        <v>656</v>
      </c>
      <c r="C4" s="851"/>
      <c r="D4" s="851"/>
      <c r="E4" s="851"/>
      <c r="F4" s="851"/>
      <c r="G4" s="851"/>
      <c r="H4" s="851"/>
      <c r="I4" s="851"/>
      <c r="J4" s="851"/>
      <c r="K4" s="851"/>
    </row>
    <row r="5" ht="10.5" customHeight="1"/>
    <row r="6" spans="1:11" ht="15.75">
      <c r="A6" s="250" t="s">
        <v>676</v>
      </c>
      <c r="B6" s="250"/>
      <c r="C6" s="250"/>
      <c r="D6" s="250"/>
      <c r="E6" s="250"/>
      <c r="F6" s="250"/>
      <c r="G6" s="250"/>
      <c r="H6" s="250"/>
      <c r="I6" s="250"/>
      <c r="J6" s="264"/>
      <c r="K6" s="250"/>
    </row>
    <row r="7" spans="2:13" ht="15.75">
      <c r="B7" s="136"/>
      <c r="C7" s="136"/>
      <c r="D7" s="136"/>
      <c r="E7" s="136"/>
      <c r="F7" s="136"/>
      <c r="G7" s="136"/>
      <c r="H7" s="136"/>
      <c r="L7" s="846" t="s">
        <v>190</v>
      </c>
      <c r="M7" s="846"/>
    </row>
    <row r="8" spans="1:13" ht="15.75">
      <c r="A8" s="36" t="s">
        <v>1005</v>
      </c>
      <c r="B8" s="36"/>
      <c r="C8" s="15"/>
      <c r="D8" s="136"/>
      <c r="E8" s="136"/>
      <c r="F8" s="136"/>
      <c r="G8" s="804" t="s">
        <v>822</v>
      </c>
      <c r="H8" s="804"/>
      <c r="I8" s="804"/>
      <c r="J8" s="804"/>
      <c r="K8" s="804"/>
      <c r="L8" s="804"/>
      <c r="M8" s="804"/>
    </row>
    <row r="9" spans="1:13" ht="12.75">
      <c r="A9" s="847" t="s">
        <v>24</v>
      </c>
      <c r="B9" s="844" t="s">
        <v>3</v>
      </c>
      <c r="C9" s="845" t="s">
        <v>677</v>
      </c>
      <c r="D9" s="845" t="s">
        <v>675</v>
      </c>
      <c r="E9" s="845" t="s">
        <v>226</v>
      </c>
      <c r="F9" s="845" t="s">
        <v>225</v>
      </c>
      <c r="G9" s="845"/>
      <c r="H9" s="845" t="s">
        <v>187</v>
      </c>
      <c r="I9" s="845"/>
      <c r="J9" s="852" t="s">
        <v>447</v>
      </c>
      <c r="K9" s="845" t="s">
        <v>189</v>
      </c>
      <c r="L9" s="845" t="s">
        <v>423</v>
      </c>
      <c r="M9" s="845" t="s">
        <v>246</v>
      </c>
    </row>
    <row r="10" spans="1:13" ht="12.75">
      <c r="A10" s="848"/>
      <c r="B10" s="844"/>
      <c r="C10" s="845"/>
      <c r="D10" s="845"/>
      <c r="E10" s="845"/>
      <c r="F10" s="845"/>
      <c r="G10" s="845"/>
      <c r="H10" s="845"/>
      <c r="I10" s="845"/>
      <c r="J10" s="853"/>
      <c r="K10" s="845"/>
      <c r="L10" s="845"/>
      <c r="M10" s="845"/>
    </row>
    <row r="11" spans="1:13" ht="27" customHeight="1">
      <c r="A11" s="849"/>
      <c r="B11" s="844"/>
      <c r="C11" s="845"/>
      <c r="D11" s="845"/>
      <c r="E11" s="845"/>
      <c r="F11" s="137" t="s">
        <v>188</v>
      </c>
      <c r="G11" s="137" t="s">
        <v>247</v>
      </c>
      <c r="H11" s="137" t="s">
        <v>188</v>
      </c>
      <c r="I11" s="137" t="s">
        <v>247</v>
      </c>
      <c r="J11" s="854"/>
      <c r="K11" s="845"/>
      <c r="L11" s="845"/>
      <c r="M11" s="845"/>
    </row>
    <row r="12" spans="1:13" ht="12.75">
      <c r="A12" s="147">
        <v>1</v>
      </c>
      <c r="B12" s="147">
        <v>2</v>
      </c>
      <c r="C12" s="147">
        <v>3</v>
      </c>
      <c r="D12" s="147">
        <v>4</v>
      </c>
      <c r="E12" s="147">
        <v>5</v>
      </c>
      <c r="F12" s="147">
        <v>6</v>
      </c>
      <c r="G12" s="147">
        <v>7</v>
      </c>
      <c r="H12" s="147">
        <v>8</v>
      </c>
      <c r="I12" s="147">
        <v>9</v>
      </c>
      <c r="J12" s="265"/>
      <c r="K12" s="147">
        <v>10</v>
      </c>
      <c r="L12" s="162">
        <v>11</v>
      </c>
      <c r="M12" s="162">
        <v>12</v>
      </c>
    </row>
    <row r="13" spans="1:13" ht="13.5" customHeight="1">
      <c r="A13" s="146">
        <v>1</v>
      </c>
      <c r="B13" s="328" t="s">
        <v>870</v>
      </c>
      <c r="C13" s="384">
        <v>383.70175950000004</v>
      </c>
      <c r="D13" s="139"/>
      <c r="E13" s="139"/>
      <c r="F13" s="139"/>
      <c r="G13" s="139"/>
      <c r="H13" s="139"/>
      <c r="I13" s="139"/>
      <c r="J13" s="266"/>
      <c r="K13" s="139"/>
      <c r="L13" s="138"/>
      <c r="M13" s="138"/>
    </row>
    <row r="14" spans="1:13" ht="13.5" customHeight="1">
      <c r="A14" s="146">
        <v>2</v>
      </c>
      <c r="B14" s="328" t="s">
        <v>871</v>
      </c>
      <c r="C14" s="384">
        <v>79.61994449999999</v>
      </c>
      <c r="D14" s="139"/>
      <c r="E14" s="139"/>
      <c r="F14" s="139"/>
      <c r="G14" s="139"/>
      <c r="H14" s="139"/>
      <c r="I14" s="139"/>
      <c r="J14" s="266"/>
      <c r="K14" s="139"/>
      <c r="L14" s="138"/>
      <c r="M14" s="138"/>
    </row>
    <row r="15" spans="1:13" ht="13.5" customHeight="1">
      <c r="A15" s="146">
        <v>3</v>
      </c>
      <c r="B15" s="328" t="s">
        <v>872</v>
      </c>
      <c r="C15" s="384">
        <v>218.90040299999998</v>
      </c>
      <c r="D15" s="139"/>
      <c r="E15" s="139"/>
      <c r="F15" s="139"/>
      <c r="G15" s="139"/>
      <c r="H15" s="139"/>
      <c r="I15" s="139"/>
      <c r="J15" s="266"/>
      <c r="K15" s="139"/>
      <c r="L15" s="138"/>
      <c r="M15" s="138"/>
    </row>
    <row r="16" spans="1:13" ht="13.5" customHeight="1">
      <c r="A16" s="146">
        <v>4</v>
      </c>
      <c r="B16" s="328" t="s">
        <v>873</v>
      </c>
      <c r="C16" s="384">
        <v>320.98347299999995</v>
      </c>
      <c r="D16" s="139"/>
      <c r="E16" s="139"/>
      <c r="F16" s="139"/>
      <c r="G16" s="139"/>
      <c r="H16" s="139"/>
      <c r="I16" s="139"/>
      <c r="J16" s="266"/>
      <c r="K16" s="139"/>
      <c r="L16" s="138"/>
      <c r="M16" s="138"/>
    </row>
    <row r="17" spans="1:13" ht="13.5" customHeight="1">
      <c r="A17" s="146">
        <v>5</v>
      </c>
      <c r="B17" s="328" t="s">
        <v>874</v>
      </c>
      <c r="C17" s="384">
        <v>266.76556949999997</v>
      </c>
      <c r="D17" s="139"/>
      <c r="E17" s="139"/>
      <c r="F17" s="139"/>
      <c r="G17" s="139"/>
      <c r="H17" s="139"/>
      <c r="I17" s="139"/>
      <c r="J17" s="266"/>
      <c r="K17" s="139"/>
      <c r="L17" s="138"/>
      <c r="M17" s="138"/>
    </row>
    <row r="18" spans="1:13" s="142" customFormat="1" ht="13.5" customHeight="1">
      <c r="A18" s="146">
        <v>6</v>
      </c>
      <c r="B18" s="328" t="s">
        <v>875</v>
      </c>
      <c r="C18" s="384">
        <v>90.0760155</v>
      </c>
      <c r="D18" s="141"/>
      <c r="E18" s="141"/>
      <c r="F18" s="141"/>
      <c r="G18" s="141"/>
      <c r="H18" s="141"/>
      <c r="I18" s="141"/>
      <c r="J18" s="267"/>
      <c r="K18" s="141"/>
      <c r="L18" s="140"/>
      <c r="M18" s="140"/>
    </row>
    <row r="19" spans="1:13" s="142" customFormat="1" ht="13.5" customHeight="1">
      <c r="A19" s="146">
        <v>7</v>
      </c>
      <c r="B19" s="328" t="s">
        <v>876</v>
      </c>
      <c r="C19" s="384">
        <v>161.348484</v>
      </c>
      <c r="D19" s="141"/>
      <c r="E19" s="141"/>
      <c r="F19" s="141"/>
      <c r="G19" s="141"/>
      <c r="H19" s="141"/>
      <c r="I19" s="141"/>
      <c r="J19" s="267"/>
      <c r="K19" s="141"/>
      <c r="L19" s="140"/>
      <c r="M19" s="140"/>
    </row>
    <row r="20" spans="1:13" s="142" customFormat="1" ht="13.5" customHeight="1">
      <c r="A20" s="146">
        <v>8</v>
      </c>
      <c r="B20" s="328" t="s">
        <v>877</v>
      </c>
      <c r="C20" s="384">
        <v>115.486029</v>
      </c>
      <c r="D20" s="141"/>
      <c r="E20" s="141"/>
      <c r="F20" s="141"/>
      <c r="G20" s="141"/>
      <c r="H20" s="141"/>
      <c r="I20" s="141"/>
      <c r="J20" s="267"/>
      <c r="K20" s="141"/>
      <c r="L20" s="140"/>
      <c r="M20" s="140"/>
    </row>
    <row r="21" spans="1:13" s="142" customFormat="1" ht="13.5" customHeight="1">
      <c r="A21" s="146">
        <v>9</v>
      </c>
      <c r="B21" s="328" t="s">
        <v>878</v>
      </c>
      <c r="C21" s="384">
        <v>146.22950549999996</v>
      </c>
      <c r="D21" s="141"/>
      <c r="E21" s="141"/>
      <c r="F21" s="141"/>
      <c r="G21" s="141"/>
      <c r="H21" s="141"/>
      <c r="I21" s="141"/>
      <c r="J21" s="267"/>
      <c r="K21" s="141"/>
      <c r="L21" s="140"/>
      <c r="M21" s="140"/>
    </row>
    <row r="22" spans="1:13" s="142" customFormat="1" ht="13.5" customHeight="1">
      <c r="A22" s="146">
        <v>10</v>
      </c>
      <c r="B22" s="328" t="s">
        <v>879</v>
      </c>
      <c r="C22" s="384">
        <v>59.82438900000001</v>
      </c>
      <c r="D22" s="141"/>
      <c r="E22" s="141"/>
      <c r="F22" s="141"/>
      <c r="G22" s="141"/>
      <c r="H22" s="141"/>
      <c r="I22" s="141"/>
      <c r="J22" s="267"/>
      <c r="K22" s="141"/>
      <c r="L22" s="140"/>
      <c r="M22" s="140"/>
    </row>
    <row r="23" spans="1:13" s="142" customFormat="1" ht="13.5" customHeight="1">
      <c r="A23" s="146">
        <v>11</v>
      </c>
      <c r="B23" s="328" t="s">
        <v>880</v>
      </c>
      <c r="C23" s="384">
        <v>89.28116999999999</v>
      </c>
      <c r="D23" s="141"/>
      <c r="E23" s="141"/>
      <c r="F23" s="141"/>
      <c r="G23" s="141"/>
      <c r="H23" s="141"/>
      <c r="I23" s="141"/>
      <c r="J23" s="267"/>
      <c r="K23" s="141"/>
      <c r="L23" s="140"/>
      <c r="M23" s="140"/>
    </row>
    <row r="24" spans="1:13" s="142" customFormat="1" ht="13.5" customHeight="1">
      <c r="A24" s="146">
        <v>12</v>
      </c>
      <c r="B24" s="328" t="s">
        <v>881</v>
      </c>
      <c r="C24" s="384">
        <v>57.772416</v>
      </c>
      <c r="D24" s="141"/>
      <c r="E24" s="141"/>
      <c r="F24" s="141"/>
      <c r="G24" s="141"/>
      <c r="H24" s="141"/>
      <c r="I24" s="141"/>
      <c r="J24" s="267"/>
      <c r="K24" s="141"/>
      <c r="L24" s="140"/>
      <c r="M24" s="140"/>
    </row>
    <row r="25" spans="1:13" s="142" customFormat="1" ht="13.5" customHeight="1">
      <c r="A25" s="146">
        <v>13</v>
      </c>
      <c r="B25" s="328" t="s">
        <v>882</v>
      </c>
      <c r="C25" s="384">
        <v>322.86691049999996</v>
      </c>
      <c r="D25" s="141"/>
      <c r="E25" s="141"/>
      <c r="F25" s="141"/>
      <c r="G25" s="141"/>
      <c r="H25" s="141"/>
      <c r="I25" s="141"/>
      <c r="J25" s="267"/>
      <c r="K25" s="141"/>
      <c r="L25" s="140"/>
      <c r="M25" s="140"/>
    </row>
    <row r="26" spans="1:13" s="142" customFormat="1" ht="13.5" customHeight="1">
      <c r="A26" s="146">
        <v>14</v>
      </c>
      <c r="B26" s="328" t="s">
        <v>883</v>
      </c>
      <c r="C26" s="384">
        <v>185.3198385</v>
      </c>
      <c r="D26" s="141"/>
      <c r="E26" s="141"/>
      <c r="F26" s="141"/>
      <c r="G26" s="141"/>
      <c r="H26" s="141"/>
      <c r="I26" s="141"/>
      <c r="J26" s="267"/>
      <c r="K26" s="141"/>
      <c r="L26" s="140"/>
      <c r="M26" s="140"/>
    </row>
    <row r="27" spans="1:13" s="142" customFormat="1" ht="13.5" customHeight="1">
      <c r="A27" s="146">
        <v>15</v>
      </c>
      <c r="B27" s="328" t="s">
        <v>884</v>
      </c>
      <c r="C27" s="384">
        <v>275.228754</v>
      </c>
      <c r="D27" s="141"/>
      <c r="E27" s="141"/>
      <c r="F27" s="141"/>
      <c r="G27" s="141"/>
      <c r="H27" s="141"/>
      <c r="I27" s="141"/>
      <c r="J27" s="267"/>
      <c r="K27" s="141"/>
      <c r="L27" s="140"/>
      <c r="M27" s="140"/>
    </row>
    <row r="28" spans="1:13" s="142" customFormat="1" ht="13.5" customHeight="1">
      <c r="A28" s="146">
        <v>16</v>
      </c>
      <c r="B28" s="328" t="s">
        <v>885</v>
      </c>
      <c r="C28" s="384">
        <v>235.59896249999997</v>
      </c>
      <c r="D28" s="141"/>
      <c r="E28" s="141"/>
      <c r="F28" s="141"/>
      <c r="G28" s="141"/>
      <c r="H28" s="141"/>
      <c r="I28" s="141"/>
      <c r="J28" s="267"/>
      <c r="K28" s="141"/>
      <c r="L28" s="140"/>
      <c r="M28" s="140"/>
    </row>
    <row r="29" spans="1:13" s="142" customFormat="1" ht="13.5" customHeight="1">
      <c r="A29" s="146">
        <v>17</v>
      </c>
      <c r="B29" s="328" t="s">
        <v>886</v>
      </c>
      <c r="C29" s="384">
        <v>453.873966</v>
      </c>
      <c r="D29" s="141"/>
      <c r="E29" s="141"/>
      <c r="F29" s="141"/>
      <c r="G29" s="141"/>
      <c r="H29" s="141"/>
      <c r="I29" s="141"/>
      <c r="J29" s="267"/>
      <c r="K29" s="141"/>
      <c r="L29" s="140"/>
      <c r="M29" s="140"/>
    </row>
    <row r="30" spans="1:13" s="142" customFormat="1" ht="13.5" customHeight="1">
      <c r="A30" s="146">
        <v>18</v>
      </c>
      <c r="B30" s="328" t="s">
        <v>887</v>
      </c>
      <c r="C30" s="384">
        <v>365.11425449999996</v>
      </c>
      <c r="D30" s="141"/>
      <c r="E30" s="141"/>
      <c r="F30" s="141"/>
      <c r="G30" s="141"/>
      <c r="H30" s="141"/>
      <c r="I30" s="141"/>
      <c r="J30" s="267"/>
      <c r="K30" s="141"/>
      <c r="L30" s="140"/>
      <c r="M30" s="140"/>
    </row>
    <row r="31" spans="1:13" s="142" customFormat="1" ht="13.5" customHeight="1">
      <c r="A31" s="146">
        <v>19</v>
      </c>
      <c r="B31" s="328" t="s">
        <v>888</v>
      </c>
      <c r="C31" s="384">
        <v>222.9071205</v>
      </c>
      <c r="D31" s="141"/>
      <c r="E31" s="141"/>
      <c r="F31" s="141"/>
      <c r="G31" s="141"/>
      <c r="H31" s="141"/>
      <c r="I31" s="141"/>
      <c r="J31" s="267"/>
      <c r="K31" s="141"/>
      <c r="L31" s="140"/>
      <c r="M31" s="140"/>
    </row>
    <row r="32" spans="1:13" s="142" customFormat="1" ht="13.5" customHeight="1">
      <c r="A32" s="146">
        <v>20</v>
      </c>
      <c r="B32" s="328" t="s">
        <v>889</v>
      </c>
      <c r="C32" s="384">
        <v>113.78720399999999</v>
      </c>
      <c r="D32" s="141"/>
      <c r="E32" s="141"/>
      <c r="F32" s="141"/>
      <c r="G32" s="141"/>
      <c r="H32" s="141"/>
      <c r="I32" s="141"/>
      <c r="J32" s="267"/>
      <c r="K32" s="141"/>
      <c r="L32" s="140"/>
      <c r="M32" s="140"/>
    </row>
    <row r="33" spans="1:13" s="142" customFormat="1" ht="13.5" customHeight="1">
      <c r="A33" s="146">
        <v>21</v>
      </c>
      <c r="B33" s="328" t="s">
        <v>890</v>
      </c>
      <c r="C33" s="384">
        <v>373.67806049999996</v>
      </c>
      <c r="D33" s="141"/>
      <c r="E33" s="141"/>
      <c r="F33" s="141"/>
      <c r="G33" s="141"/>
      <c r="H33" s="141"/>
      <c r="I33" s="141"/>
      <c r="J33" s="267"/>
      <c r="K33" s="141"/>
      <c r="L33" s="140"/>
      <c r="M33" s="140"/>
    </row>
    <row r="34" spans="1:13" s="142" customFormat="1" ht="13.5" customHeight="1">
      <c r="A34" s="146">
        <v>22</v>
      </c>
      <c r="B34" s="328" t="s">
        <v>891</v>
      </c>
      <c r="C34" s="384">
        <v>147.69013199999998</v>
      </c>
      <c r="D34" s="141"/>
      <c r="E34" s="141"/>
      <c r="F34" s="141"/>
      <c r="G34" s="141"/>
      <c r="H34" s="141"/>
      <c r="I34" s="141"/>
      <c r="J34" s="267"/>
      <c r="K34" s="141"/>
      <c r="L34" s="140"/>
      <c r="M34" s="140"/>
    </row>
    <row r="35" spans="1:13" s="142" customFormat="1" ht="13.5" customHeight="1">
      <c r="A35" s="146">
        <v>23</v>
      </c>
      <c r="B35" s="328" t="s">
        <v>892</v>
      </c>
      <c r="C35" s="384">
        <v>166.95174749999998</v>
      </c>
      <c r="D35" s="141"/>
      <c r="E35" s="141"/>
      <c r="F35" s="141"/>
      <c r="G35" s="141"/>
      <c r="H35" s="141"/>
      <c r="I35" s="141"/>
      <c r="J35" s="267"/>
      <c r="K35" s="141"/>
      <c r="L35" s="140"/>
      <c r="M35" s="140"/>
    </row>
    <row r="36" spans="1:13" s="142" customFormat="1" ht="13.5" customHeight="1">
      <c r="A36" s="146">
        <v>24</v>
      </c>
      <c r="B36" s="328" t="s">
        <v>893</v>
      </c>
      <c r="C36" s="384">
        <v>536.6324429999999</v>
      </c>
      <c r="D36" s="141"/>
      <c r="E36" s="141"/>
      <c r="F36" s="141"/>
      <c r="G36" s="141"/>
      <c r="H36" s="141"/>
      <c r="I36" s="141"/>
      <c r="J36" s="267"/>
      <c r="K36" s="141"/>
      <c r="L36" s="140"/>
      <c r="M36" s="140"/>
    </row>
    <row r="37" spans="1:13" s="142" customFormat="1" ht="13.5" customHeight="1">
      <c r="A37" s="146">
        <v>25</v>
      </c>
      <c r="B37" s="328" t="s">
        <v>894</v>
      </c>
      <c r="C37" s="384">
        <v>138.17451299999996</v>
      </c>
      <c r="D37" s="141"/>
      <c r="E37" s="141"/>
      <c r="F37" s="141"/>
      <c r="G37" s="141"/>
      <c r="H37" s="141"/>
      <c r="I37" s="141"/>
      <c r="J37" s="267"/>
      <c r="K37" s="141"/>
      <c r="L37" s="140"/>
      <c r="M37" s="140"/>
    </row>
    <row r="38" spans="1:13" s="142" customFormat="1" ht="13.5" customHeight="1">
      <c r="A38" s="146">
        <v>26</v>
      </c>
      <c r="B38" s="328" t="s">
        <v>895</v>
      </c>
      <c r="C38" s="384">
        <v>114.15032699999998</v>
      </c>
      <c r="D38" s="141"/>
      <c r="E38" s="141"/>
      <c r="F38" s="141"/>
      <c r="G38" s="141"/>
      <c r="H38" s="141"/>
      <c r="I38" s="141"/>
      <c r="J38" s="267"/>
      <c r="K38" s="141"/>
      <c r="L38" s="140"/>
      <c r="M38" s="140"/>
    </row>
    <row r="39" spans="1:13" s="142" customFormat="1" ht="13.5" customHeight="1">
      <c r="A39" s="146">
        <v>27</v>
      </c>
      <c r="B39" s="328" t="s">
        <v>896</v>
      </c>
      <c r="C39" s="384">
        <v>198.0679875</v>
      </c>
      <c r="D39" s="141"/>
      <c r="E39" s="141"/>
      <c r="F39" s="141"/>
      <c r="G39" s="141"/>
      <c r="H39" s="141"/>
      <c r="I39" s="141"/>
      <c r="J39" s="267"/>
      <c r="K39" s="141"/>
      <c r="L39" s="140"/>
      <c r="M39" s="140"/>
    </row>
    <row r="40" spans="1:13" s="142" customFormat="1" ht="13.5" customHeight="1">
      <c r="A40" s="146">
        <v>28</v>
      </c>
      <c r="B40" s="328" t="s">
        <v>897</v>
      </c>
      <c r="C40" s="384">
        <v>205.19335649999996</v>
      </c>
      <c r="D40" s="141"/>
      <c r="E40" s="141"/>
      <c r="F40" s="141"/>
      <c r="G40" s="141"/>
      <c r="H40" s="141"/>
      <c r="I40" s="141"/>
      <c r="J40" s="267"/>
      <c r="K40" s="141"/>
      <c r="L40" s="140"/>
      <c r="M40" s="140"/>
    </row>
    <row r="41" spans="1:13" s="142" customFormat="1" ht="13.5" customHeight="1">
      <c r="A41" s="146">
        <v>29</v>
      </c>
      <c r="B41" s="328" t="s">
        <v>898</v>
      </c>
      <c r="C41" s="384">
        <v>43.5266145</v>
      </c>
      <c r="D41" s="141"/>
      <c r="E41" s="141"/>
      <c r="F41" s="141"/>
      <c r="G41" s="141"/>
      <c r="H41" s="141"/>
      <c r="I41" s="141"/>
      <c r="J41" s="267"/>
      <c r="K41" s="141"/>
      <c r="L41" s="140"/>
      <c r="M41" s="140"/>
    </row>
    <row r="42" spans="1:13" s="142" customFormat="1" ht="13.5" customHeight="1">
      <c r="A42" s="146">
        <v>30</v>
      </c>
      <c r="B42" s="328" t="s">
        <v>899</v>
      </c>
      <c r="C42" s="384">
        <v>348.1318095</v>
      </c>
      <c r="D42" s="141"/>
      <c r="E42" s="141"/>
      <c r="F42" s="141"/>
      <c r="G42" s="141"/>
      <c r="H42" s="141"/>
      <c r="I42" s="141"/>
      <c r="J42" s="267"/>
      <c r="K42" s="141"/>
      <c r="L42" s="140"/>
      <c r="M42" s="140"/>
    </row>
    <row r="43" spans="1:13" s="142" customFormat="1" ht="13.5" customHeight="1">
      <c r="A43" s="146">
        <v>31</v>
      </c>
      <c r="B43" s="328" t="s">
        <v>900</v>
      </c>
      <c r="C43" s="384">
        <v>367.27757549999995</v>
      </c>
      <c r="D43" s="141"/>
      <c r="E43" s="141"/>
      <c r="F43" s="141"/>
      <c r="G43" s="141"/>
      <c r="H43" s="141"/>
      <c r="I43" s="141"/>
      <c r="J43" s="267"/>
      <c r="K43" s="141"/>
      <c r="L43" s="140"/>
      <c r="M43" s="140"/>
    </row>
    <row r="44" spans="1:13" s="142" customFormat="1" ht="13.5" customHeight="1">
      <c r="A44" s="146">
        <v>32</v>
      </c>
      <c r="B44" s="328" t="s">
        <v>901</v>
      </c>
      <c r="C44" s="384">
        <v>211.3757775</v>
      </c>
      <c r="D44" s="141"/>
      <c r="E44" s="141"/>
      <c r="F44" s="141"/>
      <c r="G44" s="141"/>
      <c r="H44" s="141"/>
      <c r="I44" s="141"/>
      <c r="J44" s="267"/>
      <c r="K44" s="141"/>
      <c r="L44" s="140"/>
      <c r="M44" s="140"/>
    </row>
    <row r="45" spans="1:13" s="142" customFormat="1" ht="13.5" customHeight="1">
      <c r="A45" s="146">
        <v>33</v>
      </c>
      <c r="B45" s="328" t="s">
        <v>902</v>
      </c>
      <c r="C45" s="384">
        <v>94.2895935</v>
      </c>
      <c r="D45" s="141"/>
      <c r="E45" s="141"/>
      <c r="F45" s="141"/>
      <c r="G45" s="141"/>
      <c r="H45" s="141"/>
      <c r="I45" s="141"/>
      <c r="J45" s="267"/>
      <c r="K45" s="141"/>
      <c r="L45" s="140"/>
      <c r="M45" s="140"/>
    </row>
    <row r="46" spans="1:13" s="142" customFormat="1" ht="13.5" customHeight="1">
      <c r="A46" s="146">
        <v>34</v>
      </c>
      <c r="B46" s="328" t="s">
        <v>903</v>
      </c>
      <c r="C46" s="384">
        <v>45.10623</v>
      </c>
      <c r="D46" s="141"/>
      <c r="E46" s="141"/>
      <c r="F46" s="141"/>
      <c r="G46" s="141"/>
      <c r="H46" s="141"/>
      <c r="I46" s="141"/>
      <c r="J46" s="267"/>
      <c r="K46" s="141"/>
      <c r="L46" s="140"/>
      <c r="M46" s="140"/>
    </row>
    <row r="47" spans="1:13" ht="13.5" customHeight="1">
      <c r="A47" s="146">
        <v>35</v>
      </c>
      <c r="B47" s="328" t="s">
        <v>904</v>
      </c>
      <c r="C47" s="384">
        <v>179.885001</v>
      </c>
      <c r="D47" s="138"/>
      <c r="E47" s="138"/>
      <c r="F47" s="143"/>
      <c r="G47" s="143"/>
      <c r="H47" s="143"/>
      <c r="I47" s="143"/>
      <c r="J47" s="268"/>
      <c r="K47" s="138"/>
      <c r="L47" s="138"/>
      <c r="M47" s="138"/>
    </row>
    <row r="48" spans="1:13" ht="13.5" customHeight="1">
      <c r="A48" s="144" t="s">
        <v>90</v>
      </c>
      <c r="B48" s="138"/>
      <c r="C48" s="533">
        <f>SUM(C13:C47)</f>
        <v>7334.8173375</v>
      </c>
      <c r="D48" s="185">
        <v>-4539.17</v>
      </c>
      <c r="E48" s="145">
        <v>7334.81</v>
      </c>
      <c r="F48" s="661">
        <v>222030.66</v>
      </c>
      <c r="G48" s="661">
        <v>6660.92</v>
      </c>
      <c r="H48" s="661">
        <v>222030.66</v>
      </c>
      <c r="I48" s="661">
        <v>6660.92</v>
      </c>
      <c r="J48" s="270" t="s">
        <v>7</v>
      </c>
      <c r="K48" s="138">
        <f>D48+E48-I48</f>
        <v>-3865.2799999999997</v>
      </c>
      <c r="L48" s="138">
        <v>1097.52</v>
      </c>
      <c r="M48" s="138">
        <v>1097.52</v>
      </c>
    </row>
    <row r="49" spans="1:13" ht="12.75">
      <c r="A49" s="138"/>
      <c r="B49" s="138"/>
      <c r="C49" s="138"/>
      <c r="D49" s="138"/>
      <c r="E49" s="138"/>
      <c r="F49" s="138"/>
      <c r="G49" s="138"/>
      <c r="H49" s="138"/>
      <c r="I49" s="138"/>
      <c r="J49" s="269"/>
      <c r="K49" s="138"/>
      <c r="L49" s="138"/>
      <c r="M49" s="138"/>
    </row>
    <row r="52" ht="15.75" customHeight="1"/>
    <row r="53" spans="1:14" ht="15.75" customHeight="1">
      <c r="A53" s="83"/>
      <c r="B53" s="83"/>
      <c r="C53" s="83"/>
      <c r="D53" s="748" t="s">
        <v>1021</v>
      </c>
      <c r="E53" s="748"/>
      <c r="F53" s="748"/>
      <c r="G53" s="748"/>
      <c r="H53" s="16"/>
      <c r="I53" s="16"/>
      <c r="J53" s="748" t="s">
        <v>1024</v>
      </c>
      <c r="K53" s="748"/>
      <c r="L53" s="748"/>
      <c r="M53" s="83"/>
      <c r="N53" s="16"/>
    </row>
    <row r="54" spans="1:14" ht="15.75" customHeight="1">
      <c r="A54" s="83"/>
      <c r="B54" s="83"/>
      <c r="C54" s="83"/>
      <c r="D54" s="748" t="s">
        <v>1022</v>
      </c>
      <c r="E54" s="748"/>
      <c r="F54" s="748"/>
      <c r="G54" s="748"/>
      <c r="H54" s="16"/>
      <c r="I54" s="16"/>
      <c r="J54" s="748" t="s">
        <v>1025</v>
      </c>
      <c r="K54" s="748"/>
      <c r="L54" s="748"/>
      <c r="M54" s="83"/>
      <c r="N54" s="16"/>
    </row>
    <row r="55" spans="1:14" ht="12.75" customHeight="1">
      <c r="A55" s="83"/>
      <c r="B55" s="83"/>
      <c r="C55" s="83"/>
      <c r="D55" s="735" t="s">
        <v>1023</v>
      </c>
      <c r="E55" s="735"/>
      <c r="F55" s="735"/>
      <c r="G55" s="735"/>
      <c r="H55" s="16"/>
      <c r="I55" s="16"/>
      <c r="J55" s="735" t="s">
        <v>1023</v>
      </c>
      <c r="K55" s="735"/>
      <c r="L55" s="735"/>
      <c r="M55" s="83"/>
      <c r="N55" s="16"/>
    </row>
    <row r="56" spans="1:14" ht="12.75">
      <c r="A56" s="15" t="s">
        <v>22</v>
      </c>
      <c r="B56" s="15"/>
      <c r="C56" s="15"/>
      <c r="D56" s="15"/>
      <c r="E56" s="15"/>
      <c r="F56" s="15"/>
      <c r="G56" s="16"/>
      <c r="H56" s="16"/>
      <c r="I56" s="16"/>
      <c r="J56" s="271"/>
      <c r="K56" s="736"/>
      <c r="L56" s="736"/>
      <c r="M56" s="736"/>
      <c r="N56" s="736"/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271"/>
      <c r="K57" s="16"/>
      <c r="L57" s="16"/>
      <c r="M57" s="16"/>
      <c r="N57" s="16"/>
    </row>
  </sheetData>
  <sheetProtection/>
  <mergeCells count="23">
    <mergeCell ref="K56:N56"/>
    <mergeCell ref="D9:D11"/>
    <mergeCell ref="E9:E11"/>
    <mergeCell ref="K1:M1"/>
    <mergeCell ref="B3:K3"/>
    <mergeCell ref="B4:K4"/>
    <mergeCell ref="C9:C11"/>
    <mergeCell ref="J9:J11"/>
    <mergeCell ref="M9:M11"/>
    <mergeCell ref="G8:M8"/>
    <mergeCell ref="B9:B11"/>
    <mergeCell ref="H9:I10"/>
    <mergeCell ref="L7:M7"/>
    <mergeCell ref="A9:A11"/>
    <mergeCell ref="F9:G10"/>
    <mergeCell ref="L9:L11"/>
    <mergeCell ref="K9:K11"/>
    <mergeCell ref="J53:L53"/>
    <mergeCell ref="D54:G54"/>
    <mergeCell ref="J54:L54"/>
    <mergeCell ref="D55:G55"/>
    <mergeCell ref="J55:L55"/>
    <mergeCell ref="D53:G53"/>
  </mergeCells>
  <printOptions horizontalCentered="1"/>
  <pageMargins left="0.7086614173228347" right="0.7086614173228347" top="0.2362204724409449" bottom="0" header="0.24" footer="0.31496062992125984"/>
  <pageSetup fitToHeight="1" fitToWidth="1" horizontalDpi="600" verticalDpi="600" orientation="landscape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SheetLayoutView="90" zoomScalePageLayoutView="0" workbookViewId="0" topLeftCell="A34">
      <selection activeCell="D52" sqref="D52:L54"/>
    </sheetView>
  </sheetViews>
  <sheetFormatPr defaultColWidth="9.140625" defaultRowHeight="12.75"/>
  <cols>
    <col min="1" max="1" width="5.57421875" style="16" customWidth="1"/>
    <col min="2" max="2" width="15.421875" style="16" bestFit="1" customWidth="1"/>
    <col min="3" max="3" width="10.57421875" style="16" customWidth="1"/>
    <col min="4" max="4" width="9.8515625" style="16" customWidth="1"/>
    <col min="5" max="5" width="8.7109375" style="16" customWidth="1"/>
    <col min="6" max="6" width="10.8515625" style="16" customWidth="1"/>
    <col min="7" max="7" width="15.8515625" style="16" customWidth="1"/>
    <col min="8" max="8" width="12.421875" style="16" customWidth="1"/>
    <col min="9" max="9" width="12.140625" style="16" customWidth="1"/>
    <col min="10" max="10" width="9.00390625" style="16" customWidth="1"/>
    <col min="11" max="11" width="12.00390625" style="16" customWidth="1"/>
    <col min="12" max="12" width="17.28125" style="16" customWidth="1"/>
    <col min="13" max="13" width="9.140625" style="16" hidden="1" customWidth="1"/>
    <col min="14" max="16384" width="9.140625" style="16" customWidth="1"/>
  </cols>
  <sheetData>
    <row r="1" spans="4:16" ht="15">
      <c r="D1" s="36"/>
      <c r="E1" s="36"/>
      <c r="F1" s="36"/>
      <c r="G1" s="36"/>
      <c r="H1" s="36"/>
      <c r="I1" s="36"/>
      <c r="J1" s="36"/>
      <c r="K1" s="36"/>
      <c r="L1" s="507" t="s">
        <v>448</v>
      </c>
      <c r="M1" s="507"/>
      <c r="N1" s="507"/>
      <c r="O1" s="43"/>
      <c r="P1" s="43"/>
    </row>
    <row r="2" spans="1:16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45"/>
      <c r="N2" s="45"/>
      <c r="O2" s="45"/>
      <c r="P2" s="45"/>
    </row>
    <row r="3" spans="1:16" ht="20.25">
      <c r="A3" s="843" t="s">
        <v>656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44"/>
      <c r="N3" s="44"/>
      <c r="O3" s="44"/>
      <c r="P3" s="44"/>
    </row>
    <row r="4" ht="10.5" customHeight="1"/>
    <row r="5" spans="1:12" ht="19.5" customHeight="1">
      <c r="A5" s="840" t="s">
        <v>678</v>
      </c>
      <c r="B5" s="840"/>
      <c r="C5" s="840"/>
      <c r="D5" s="840"/>
      <c r="E5" s="840"/>
      <c r="F5" s="840"/>
      <c r="G5" s="840"/>
      <c r="H5" s="840"/>
      <c r="I5" s="840"/>
      <c r="J5" s="840"/>
      <c r="K5" s="840"/>
      <c r="L5" s="840"/>
    </row>
    <row r="6" spans="1:12" ht="12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36" t="s">
        <v>1005</v>
      </c>
      <c r="B7" s="36"/>
      <c r="C7" s="15"/>
      <c r="F7" s="841" t="s">
        <v>20</v>
      </c>
      <c r="G7" s="841"/>
      <c r="H7" s="841"/>
      <c r="I7" s="841"/>
      <c r="J7" s="841"/>
      <c r="K7" s="841"/>
      <c r="L7" s="841"/>
    </row>
    <row r="8" spans="1:12" ht="12.75">
      <c r="A8" s="15"/>
      <c r="F8" s="17"/>
      <c r="G8" s="99"/>
      <c r="H8" s="99"/>
      <c r="I8" s="842" t="s">
        <v>822</v>
      </c>
      <c r="J8" s="842"/>
      <c r="K8" s="842"/>
      <c r="L8" s="842"/>
    </row>
    <row r="9" spans="1:19" s="15" customFormat="1" ht="12.75">
      <c r="A9" s="709" t="s">
        <v>2</v>
      </c>
      <c r="B9" s="709" t="s">
        <v>3</v>
      </c>
      <c r="C9" s="696" t="s">
        <v>25</v>
      </c>
      <c r="D9" s="697"/>
      <c r="E9" s="697"/>
      <c r="F9" s="697"/>
      <c r="G9" s="697"/>
      <c r="H9" s="696" t="s">
        <v>26</v>
      </c>
      <c r="I9" s="697"/>
      <c r="J9" s="697"/>
      <c r="K9" s="697"/>
      <c r="L9" s="697"/>
      <c r="R9" s="30"/>
      <c r="S9" s="31"/>
    </row>
    <row r="10" spans="1:12" s="15" customFormat="1" ht="63.75">
      <c r="A10" s="709"/>
      <c r="B10" s="709"/>
      <c r="C10" s="5" t="s">
        <v>673</v>
      </c>
      <c r="D10" s="5" t="s">
        <v>675</v>
      </c>
      <c r="E10" s="5" t="s">
        <v>70</v>
      </c>
      <c r="F10" s="5" t="s">
        <v>71</v>
      </c>
      <c r="G10" s="5" t="s">
        <v>380</v>
      </c>
      <c r="H10" s="5" t="s">
        <v>673</v>
      </c>
      <c r="I10" s="5" t="s">
        <v>675</v>
      </c>
      <c r="J10" s="5" t="s">
        <v>70</v>
      </c>
      <c r="K10" s="5" t="s">
        <v>71</v>
      </c>
      <c r="L10" s="5" t="s">
        <v>381</v>
      </c>
    </row>
    <row r="11" spans="1:12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2.75">
      <c r="A12" s="19">
        <v>1</v>
      </c>
      <c r="B12" s="328" t="s">
        <v>870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</row>
    <row r="13" spans="1:12" ht="12.75">
      <c r="A13" s="19">
        <v>2</v>
      </c>
      <c r="B13" s="328" t="s">
        <v>871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</row>
    <row r="14" spans="1:12" ht="12.75">
      <c r="A14" s="19">
        <v>3</v>
      </c>
      <c r="B14" s="328" t="s">
        <v>872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12.75">
      <c r="A15" s="19">
        <v>4</v>
      </c>
      <c r="B15" s="328" t="s">
        <v>873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ht="12.75">
      <c r="A16" s="19">
        <v>5</v>
      </c>
      <c r="B16" s="328" t="s">
        <v>874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</row>
    <row r="17" spans="1:12" ht="12.75">
      <c r="A17" s="19">
        <v>6</v>
      </c>
      <c r="B17" s="328" t="s">
        <v>875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</row>
    <row r="18" spans="1:12" ht="12.75">
      <c r="A18" s="19">
        <v>7</v>
      </c>
      <c r="B18" s="328" t="s">
        <v>876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</row>
    <row r="19" spans="1:12" ht="12.75">
      <c r="A19" s="19">
        <v>8</v>
      </c>
      <c r="B19" s="328" t="s">
        <v>877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</row>
    <row r="20" spans="1:12" ht="12.75">
      <c r="A20" s="19">
        <v>9</v>
      </c>
      <c r="B20" s="328" t="s">
        <v>878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</row>
    <row r="21" spans="1:12" ht="12.75">
      <c r="A21" s="19">
        <v>10</v>
      </c>
      <c r="B21" s="328" t="s">
        <v>879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</row>
    <row r="22" spans="1:12" ht="12.75">
      <c r="A22" s="19">
        <v>11</v>
      </c>
      <c r="B22" s="328" t="s">
        <v>880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</row>
    <row r="23" spans="1:12" ht="12.75">
      <c r="A23" s="19">
        <v>12</v>
      </c>
      <c r="B23" s="328" t="s">
        <v>881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</row>
    <row r="24" spans="1:12" ht="12.75">
      <c r="A24" s="19">
        <v>13</v>
      </c>
      <c r="B24" s="328" t="s">
        <v>882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</row>
    <row r="25" spans="1:12" ht="12.75">
      <c r="A25" s="19">
        <v>14</v>
      </c>
      <c r="B25" s="328" t="s">
        <v>883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</row>
    <row r="26" spans="1:12" ht="12.75">
      <c r="A26" s="19">
        <v>15</v>
      </c>
      <c r="B26" s="328" t="s">
        <v>884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1:12" ht="12.75">
      <c r="A27" s="19">
        <v>16</v>
      </c>
      <c r="B27" s="328" t="s">
        <v>885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</row>
    <row r="28" spans="1:12" ht="12.75">
      <c r="A28" s="19">
        <v>17</v>
      </c>
      <c r="B28" s="328" t="s">
        <v>886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</row>
    <row r="29" spans="1:12" ht="12.75">
      <c r="A29" s="19">
        <v>18</v>
      </c>
      <c r="B29" s="328" t="s">
        <v>887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</row>
    <row r="30" spans="1:12" ht="12.75">
      <c r="A30" s="19">
        <v>19</v>
      </c>
      <c r="B30" s="328" t="s">
        <v>888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</row>
    <row r="31" spans="1:12" ht="12.75">
      <c r="A31" s="19">
        <v>20</v>
      </c>
      <c r="B31" s="328" t="s">
        <v>889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</row>
    <row r="32" spans="1:12" ht="12.75">
      <c r="A32" s="19">
        <v>21</v>
      </c>
      <c r="B32" s="328" t="s">
        <v>890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</row>
    <row r="33" spans="1:12" ht="12.75">
      <c r="A33" s="19">
        <v>22</v>
      </c>
      <c r="B33" s="328" t="s">
        <v>891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</row>
    <row r="34" spans="1:12" ht="12.75">
      <c r="A34" s="19">
        <v>23</v>
      </c>
      <c r="B34" s="328" t="s">
        <v>892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1:12" ht="12.75">
      <c r="A35" s="19">
        <v>24</v>
      </c>
      <c r="B35" s="328" t="s">
        <v>893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</row>
    <row r="36" spans="1:12" ht="12.75">
      <c r="A36" s="19">
        <v>25</v>
      </c>
      <c r="B36" s="328" t="s">
        <v>894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</row>
    <row r="37" spans="1:12" ht="12.75">
      <c r="A37" s="19">
        <v>26</v>
      </c>
      <c r="B37" s="328" t="s">
        <v>895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</row>
    <row r="38" spans="1:12" ht="12.75">
      <c r="A38" s="19">
        <v>27</v>
      </c>
      <c r="B38" s="328" t="s">
        <v>896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1:12" ht="12.75">
      <c r="A39" s="19">
        <v>28</v>
      </c>
      <c r="B39" s="328" t="s">
        <v>897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</row>
    <row r="40" spans="1:12" ht="12.75">
      <c r="A40" s="19">
        <v>29</v>
      </c>
      <c r="B40" s="328" t="s">
        <v>898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</row>
    <row r="41" spans="1:12" ht="12.75">
      <c r="A41" s="19">
        <v>30</v>
      </c>
      <c r="B41" s="328" t="s">
        <v>899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</row>
    <row r="42" spans="1:12" ht="12.75">
      <c r="A42" s="19">
        <v>31</v>
      </c>
      <c r="B42" s="328" t="s">
        <v>900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1:12" ht="12.75">
      <c r="A43" s="19">
        <v>32</v>
      </c>
      <c r="B43" s="328" t="s">
        <v>901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</row>
    <row r="44" spans="1:12" ht="12.75">
      <c r="A44" s="19">
        <v>33</v>
      </c>
      <c r="B44" s="328" t="s">
        <v>902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</row>
    <row r="45" spans="1:12" ht="12.75">
      <c r="A45" s="19">
        <v>34</v>
      </c>
      <c r="B45" s="328" t="s">
        <v>903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</row>
    <row r="46" spans="1:12" ht="12.75">
      <c r="A46" s="19">
        <v>35</v>
      </c>
      <c r="B46" s="328" t="s">
        <v>904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</row>
    <row r="47" spans="1:12" ht="12.75">
      <c r="A47" s="3" t="s">
        <v>19</v>
      </c>
      <c r="B47" s="20"/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</row>
    <row r="48" spans="1:12" ht="12.75">
      <c r="A48" s="22" t="s">
        <v>379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1:12" ht="12.75">
      <c r="A49" s="21" t="s">
        <v>378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1:12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4.25" customHeight="1">
      <c r="A52" s="83"/>
      <c r="B52" s="83"/>
      <c r="C52" s="83"/>
      <c r="D52" s="748" t="s">
        <v>1021</v>
      </c>
      <c r="E52" s="748"/>
      <c r="F52" s="748"/>
      <c r="G52" s="748"/>
      <c r="J52" s="748" t="s">
        <v>1024</v>
      </c>
      <c r="K52" s="748"/>
      <c r="L52" s="748"/>
    </row>
    <row r="53" spans="1:12" ht="12.75" customHeight="1">
      <c r="A53" s="83"/>
      <c r="B53" s="83"/>
      <c r="C53" s="83"/>
      <c r="D53" s="748" t="s">
        <v>1022</v>
      </c>
      <c r="E53" s="748"/>
      <c r="F53" s="748"/>
      <c r="G53" s="748"/>
      <c r="J53" s="748" t="s">
        <v>1025</v>
      </c>
      <c r="K53" s="748"/>
      <c r="L53" s="748"/>
    </row>
    <row r="54" spans="1:12" ht="12.75" customHeight="1">
      <c r="A54" s="83"/>
      <c r="B54" s="83"/>
      <c r="C54" s="83"/>
      <c r="D54" s="735" t="s">
        <v>1023</v>
      </c>
      <c r="E54" s="735"/>
      <c r="F54" s="735"/>
      <c r="G54" s="735"/>
      <c r="J54" s="735" t="s">
        <v>1023</v>
      </c>
      <c r="K54" s="735"/>
      <c r="L54" s="735"/>
    </row>
    <row r="55" spans="1:13" ht="12.75">
      <c r="A55" s="15" t="s">
        <v>22</v>
      </c>
      <c r="B55" s="15"/>
      <c r="C55" s="15"/>
      <c r="D55" s="15"/>
      <c r="E55" s="15"/>
      <c r="F55" s="15"/>
      <c r="J55" s="736"/>
      <c r="K55" s="736"/>
      <c r="L55" s="736"/>
      <c r="M55" s="736"/>
    </row>
    <row r="56" ht="12.75">
      <c r="A56" s="15"/>
    </row>
    <row r="57" spans="1:12" ht="12.75">
      <c r="A57" s="835"/>
      <c r="B57" s="835"/>
      <c r="C57" s="835"/>
      <c r="D57" s="835"/>
      <c r="E57" s="835"/>
      <c r="F57" s="835"/>
      <c r="G57" s="835"/>
      <c r="H57" s="835"/>
      <c r="I57" s="835"/>
      <c r="J57" s="835"/>
      <c r="K57" s="835"/>
      <c r="L57" s="835"/>
    </row>
  </sheetData>
  <sheetProtection/>
  <mergeCells count="17">
    <mergeCell ref="J55:M55"/>
    <mergeCell ref="A57:L57"/>
    <mergeCell ref="I8:L8"/>
    <mergeCell ref="A9:A10"/>
    <mergeCell ref="B9:B10"/>
    <mergeCell ref="C9:G9"/>
    <mergeCell ref="H9:L9"/>
    <mergeCell ref="J54:L54"/>
    <mergeCell ref="D52:G52"/>
    <mergeCell ref="D53:G53"/>
    <mergeCell ref="D54:G54"/>
    <mergeCell ref="A2:L2"/>
    <mergeCell ref="A3:L3"/>
    <mergeCell ref="A5:L5"/>
    <mergeCell ref="F7:L7"/>
    <mergeCell ref="J52:L52"/>
    <mergeCell ref="J53:L53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75" r:id="rId1"/>
  <rowBreaks count="1" manualBreakCount="1">
    <brk id="5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90" zoomScaleNormal="80" zoomScaleSheetLayoutView="90" zoomScalePageLayoutView="0" workbookViewId="0" topLeftCell="A37">
      <selection activeCell="C53" sqref="C53:Q56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10.8515625" style="16" customWidth="1"/>
    <col min="4" max="4" width="10.140625" style="16" customWidth="1"/>
    <col min="5" max="5" width="9.8515625" style="16" customWidth="1"/>
    <col min="6" max="6" width="11.28125" style="16" customWidth="1"/>
    <col min="7" max="7" width="8.00390625" style="16" customWidth="1"/>
    <col min="8" max="8" width="8.140625" style="16" customWidth="1"/>
    <col min="9" max="9" width="9.28125" style="16" customWidth="1"/>
    <col min="10" max="10" width="10.7109375" style="16" customWidth="1"/>
    <col min="11" max="11" width="9.00390625" style="16" customWidth="1"/>
    <col min="12" max="12" width="11.421875" style="16" customWidth="1"/>
    <col min="13" max="13" width="10.140625" style="16" customWidth="1"/>
    <col min="14" max="14" width="9.7109375" style="16" customWidth="1"/>
    <col min="15" max="15" width="10.28125" style="16" customWidth="1"/>
    <col min="16" max="16" width="11.8515625" style="16" customWidth="1"/>
    <col min="17" max="17" width="11.7109375" style="16" customWidth="1"/>
    <col min="18" max="16384" width="9.140625" style="16" customWidth="1"/>
  </cols>
  <sheetData>
    <row r="1" spans="8:17" ht="15">
      <c r="H1" s="36"/>
      <c r="I1" s="36"/>
      <c r="J1" s="36"/>
      <c r="K1" s="36"/>
      <c r="L1" s="36"/>
      <c r="M1" s="36"/>
      <c r="N1" s="36"/>
      <c r="O1" s="36"/>
      <c r="P1" s="810" t="s">
        <v>64</v>
      </c>
      <c r="Q1" s="810"/>
    </row>
    <row r="2" spans="1:17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</row>
    <row r="3" spans="1:17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</row>
    <row r="4" ht="10.5" customHeight="1"/>
    <row r="5" spans="1:17" ht="12.75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4"/>
      <c r="Q5" s="22"/>
    </row>
    <row r="6" spans="1:17" ht="18" customHeight="1">
      <c r="A6" s="840" t="s">
        <v>757</v>
      </c>
      <c r="B6" s="840"/>
      <c r="C6" s="840"/>
      <c r="D6" s="840"/>
      <c r="E6" s="840"/>
      <c r="F6" s="840"/>
      <c r="G6" s="840"/>
      <c r="H6" s="840"/>
      <c r="I6" s="840"/>
      <c r="J6" s="840"/>
      <c r="K6" s="840"/>
      <c r="L6" s="840"/>
      <c r="M6" s="840"/>
      <c r="N6" s="840"/>
      <c r="O6" s="840"/>
      <c r="P6" s="840"/>
      <c r="Q6" s="840"/>
    </row>
    <row r="7" ht="9.75" customHeight="1"/>
    <row r="8" ht="0.75" customHeight="1"/>
    <row r="9" spans="1:17" ht="12.75">
      <c r="A9" s="36" t="s">
        <v>1005</v>
      </c>
      <c r="B9" s="36"/>
      <c r="C9" s="15"/>
      <c r="Q9" s="33" t="s">
        <v>23</v>
      </c>
    </row>
    <row r="10" spans="1:17" ht="15.75">
      <c r="A10" s="14"/>
      <c r="C10" s="16">
        <f>59721542*2.48/100000</f>
        <v>1481.0942416</v>
      </c>
      <c r="N10" s="842" t="s">
        <v>822</v>
      </c>
      <c r="O10" s="842"/>
      <c r="P10" s="842"/>
      <c r="Q10" s="842"/>
    </row>
    <row r="11" spans="1:17" ht="28.5" customHeight="1">
      <c r="A11" s="808" t="s">
        <v>2</v>
      </c>
      <c r="B11" s="808" t="s">
        <v>3</v>
      </c>
      <c r="C11" s="709" t="s">
        <v>679</v>
      </c>
      <c r="D11" s="709"/>
      <c r="E11" s="709"/>
      <c r="F11" s="709" t="s">
        <v>680</v>
      </c>
      <c r="G11" s="709"/>
      <c r="H11" s="709"/>
      <c r="I11" s="856" t="s">
        <v>383</v>
      </c>
      <c r="J11" s="857"/>
      <c r="K11" s="858"/>
      <c r="L11" s="856" t="s">
        <v>92</v>
      </c>
      <c r="M11" s="857"/>
      <c r="N11" s="858"/>
      <c r="O11" s="859" t="s">
        <v>826</v>
      </c>
      <c r="P11" s="860"/>
      <c r="Q11" s="861"/>
    </row>
    <row r="12" spans="1:17" ht="39.75" customHeight="1">
      <c r="A12" s="809"/>
      <c r="B12" s="809"/>
      <c r="C12" s="5" t="s">
        <v>114</v>
      </c>
      <c r="D12" s="5" t="s">
        <v>753</v>
      </c>
      <c r="E12" s="39" t="s">
        <v>19</v>
      </c>
      <c r="F12" s="5" t="s">
        <v>114</v>
      </c>
      <c r="G12" s="5" t="s">
        <v>754</v>
      </c>
      <c r="H12" s="39" t="s">
        <v>19</v>
      </c>
      <c r="I12" s="5" t="s">
        <v>114</v>
      </c>
      <c r="J12" s="5" t="s">
        <v>754</v>
      </c>
      <c r="K12" s="39" t="s">
        <v>19</v>
      </c>
      <c r="L12" s="5" t="s">
        <v>114</v>
      </c>
      <c r="M12" s="5" t="s">
        <v>754</v>
      </c>
      <c r="N12" s="39" t="s">
        <v>19</v>
      </c>
      <c r="O12" s="5" t="s">
        <v>237</v>
      </c>
      <c r="P12" s="5" t="s">
        <v>755</v>
      </c>
      <c r="Q12" s="5" t="s">
        <v>115</v>
      </c>
    </row>
    <row r="13" spans="1:17" s="69" customFormat="1" ht="12.75">
      <c r="A13" s="66">
        <v>1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6">
        <v>13</v>
      </c>
      <c r="N13" s="66">
        <v>14</v>
      </c>
      <c r="O13" s="66">
        <v>15</v>
      </c>
      <c r="P13" s="66">
        <v>16</v>
      </c>
      <c r="Q13" s="66">
        <v>17</v>
      </c>
    </row>
    <row r="14" spans="1:17" ht="15.75" customHeight="1">
      <c r="A14" s="19">
        <v>1</v>
      </c>
      <c r="B14" s="328" t="s">
        <v>870</v>
      </c>
      <c r="C14" s="325">
        <v>1481.3422415999999</v>
      </c>
      <c r="D14" s="325">
        <v>985.570443</v>
      </c>
      <c r="E14" s="325">
        <f>C14+D14</f>
        <v>2466.9126846</v>
      </c>
      <c r="F14" s="325">
        <v>105.40376697791429</v>
      </c>
      <c r="G14" s="325">
        <v>54.03002671711726</v>
      </c>
      <c r="H14" s="325">
        <f>F14+G14</f>
        <v>159.43379369503154</v>
      </c>
      <c r="I14" s="325">
        <f>C14-F14</f>
        <v>1375.9384746220856</v>
      </c>
      <c r="J14" s="448">
        <f>D14-G14</f>
        <v>931.5404162828827</v>
      </c>
      <c r="K14" s="20">
        <f>I14+J14</f>
        <v>2307.4788909049685</v>
      </c>
      <c r="L14" s="325">
        <v>1537.6339263999998</v>
      </c>
      <c r="M14" s="325">
        <v>1023.0225719999999</v>
      </c>
      <c r="N14" s="325">
        <f>L14+M14</f>
        <v>2560.6564983999997</v>
      </c>
      <c r="O14" s="325">
        <f>F14+I14-L14</f>
        <v>-56.291684799999985</v>
      </c>
      <c r="P14" s="325">
        <f>G14+J14-M14</f>
        <v>-37.4521289999999</v>
      </c>
      <c r="Q14" s="325">
        <f>O14+P14</f>
        <v>-93.74381379999988</v>
      </c>
    </row>
    <row r="15" spans="1:17" ht="15.75" customHeight="1">
      <c r="A15" s="19">
        <v>2</v>
      </c>
      <c r="B15" s="328" t="s">
        <v>871</v>
      </c>
      <c r="C15" s="325">
        <v>420.60581759999997</v>
      </c>
      <c r="D15" s="325">
        <v>279.83854799999995</v>
      </c>
      <c r="E15" s="325">
        <f aca="true" t="shared" si="0" ref="E15:E48">C15+D15</f>
        <v>700.4443655999999</v>
      </c>
      <c r="F15" s="325">
        <v>29.927883201373444</v>
      </c>
      <c r="G15" s="325">
        <v>15.341048762477246</v>
      </c>
      <c r="H15" s="325">
        <f aca="true" t="shared" si="1" ref="H15:H48">F15+G15</f>
        <v>45.26893196385069</v>
      </c>
      <c r="I15" s="325">
        <f aca="true" t="shared" si="2" ref="I15:I48">C15-F15</f>
        <v>390.6779343986265</v>
      </c>
      <c r="J15" s="448">
        <f aca="true" t="shared" si="3" ref="J15:J48">D15-G15</f>
        <v>264.4974992375227</v>
      </c>
      <c r="K15" s="20">
        <f aca="true" t="shared" si="4" ref="K15:K48">I15+J15</f>
        <v>655.1754336361491</v>
      </c>
      <c r="L15" s="325">
        <v>414.823152248</v>
      </c>
      <c r="M15" s="325">
        <v>275.991210165</v>
      </c>
      <c r="N15" s="325">
        <f aca="true" t="shared" si="5" ref="N15:N48">L15+M15</f>
        <v>690.814362413</v>
      </c>
      <c r="O15" s="325">
        <f aca="true" t="shared" si="6" ref="O15:O48">F15+I15-L15</f>
        <v>5.782665351999981</v>
      </c>
      <c r="P15" s="325">
        <f aca="true" t="shared" si="7" ref="P15:P48">G15+J15-M15</f>
        <v>3.847337834999962</v>
      </c>
      <c r="Q15" s="325">
        <f aca="true" t="shared" si="8" ref="Q15:Q48">O15+P15</f>
        <v>9.630003186999943</v>
      </c>
    </row>
    <row r="16" spans="1:17" ht="15.75" customHeight="1">
      <c r="A16" s="19">
        <v>3</v>
      </c>
      <c r="B16" s="328" t="s">
        <v>872</v>
      </c>
      <c r="C16" s="325">
        <v>826.7924687999999</v>
      </c>
      <c r="D16" s="325">
        <v>550.083699</v>
      </c>
      <c r="E16" s="325">
        <f t="shared" si="0"/>
        <v>1376.8761678</v>
      </c>
      <c r="F16" s="325">
        <v>58.829781716318315</v>
      </c>
      <c r="G16" s="325">
        <v>30.156177231890354</v>
      </c>
      <c r="H16" s="325">
        <f t="shared" si="1"/>
        <v>88.98595894820866</v>
      </c>
      <c r="I16" s="325">
        <f t="shared" si="2"/>
        <v>767.9626870836817</v>
      </c>
      <c r="J16" s="448">
        <f t="shared" si="3"/>
        <v>519.9275217681097</v>
      </c>
      <c r="K16" s="20">
        <f t="shared" si="4"/>
        <v>1287.8902088517914</v>
      </c>
      <c r="L16" s="325">
        <v>819.181377816</v>
      </c>
      <c r="M16" s="325">
        <v>545.019868305</v>
      </c>
      <c r="N16" s="325">
        <f t="shared" si="5"/>
        <v>1364.2012461210002</v>
      </c>
      <c r="O16" s="325">
        <f t="shared" si="6"/>
        <v>7.6110909839999294</v>
      </c>
      <c r="P16" s="325">
        <f t="shared" si="7"/>
        <v>5.063830694999979</v>
      </c>
      <c r="Q16" s="325">
        <f t="shared" si="8"/>
        <v>12.674921678999908</v>
      </c>
    </row>
    <row r="17" spans="1:17" ht="15.75" customHeight="1">
      <c r="A17" s="19">
        <v>4</v>
      </c>
      <c r="B17" s="328" t="s">
        <v>873</v>
      </c>
      <c r="C17" s="325">
        <v>1359.6960096</v>
      </c>
      <c r="D17" s="325">
        <v>904.636458</v>
      </c>
      <c r="E17" s="325">
        <f t="shared" si="0"/>
        <v>2264.3324676</v>
      </c>
      <c r="F17" s="325">
        <v>96.74812297385196</v>
      </c>
      <c r="G17" s="325">
        <v>49.59313902133562</v>
      </c>
      <c r="H17" s="325">
        <f t="shared" si="1"/>
        <v>146.34126199518758</v>
      </c>
      <c r="I17" s="325">
        <f t="shared" si="2"/>
        <v>1262.9478866261481</v>
      </c>
      <c r="J17" s="448">
        <f t="shared" si="3"/>
        <v>855.0433189786643</v>
      </c>
      <c r="K17" s="20">
        <f t="shared" si="4"/>
        <v>2117.9912056048124</v>
      </c>
      <c r="L17" s="325">
        <v>1351.557165192</v>
      </c>
      <c r="M17" s="325">
        <v>899.221501035</v>
      </c>
      <c r="N17" s="325">
        <f t="shared" si="5"/>
        <v>2250.778666227</v>
      </c>
      <c r="O17" s="325">
        <f t="shared" si="6"/>
        <v>8.138844408000068</v>
      </c>
      <c r="P17" s="325">
        <f t="shared" si="7"/>
        <v>5.414956964999988</v>
      </c>
      <c r="Q17" s="325">
        <f t="shared" si="8"/>
        <v>13.553801373000056</v>
      </c>
    </row>
    <row r="18" spans="1:17" ht="15.75" customHeight="1">
      <c r="A18" s="19">
        <v>5</v>
      </c>
      <c r="B18" s="328" t="s">
        <v>874</v>
      </c>
      <c r="C18" s="325">
        <v>1090.0922831999999</v>
      </c>
      <c r="D18" s="325">
        <v>725.2630109999999</v>
      </c>
      <c r="E18" s="325">
        <f t="shared" si="0"/>
        <v>1815.3552941999997</v>
      </c>
      <c r="F18" s="325">
        <v>77.56467734203802</v>
      </c>
      <c r="G18" s="325">
        <v>39.75969464139755</v>
      </c>
      <c r="H18" s="325">
        <f t="shared" si="1"/>
        <v>117.32437198343558</v>
      </c>
      <c r="I18" s="325">
        <f t="shared" si="2"/>
        <v>1012.5276058579618</v>
      </c>
      <c r="J18" s="448">
        <f t="shared" si="3"/>
        <v>685.5033163586023</v>
      </c>
      <c r="K18" s="20">
        <f t="shared" si="4"/>
        <v>1698.0309222165642</v>
      </c>
      <c r="L18" s="325">
        <v>1086.4711112</v>
      </c>
      <c r="M18" s="325">
        <v>722.8537634999999</v>
      </c>
      <c r="N18" s="325">
        <f t="shared" si="5"/>
        <v>1809.3248746999998</v>
      </c>
      <c r="O18" s="325">
        <f t="shared" si="6"/>
        <v>3.6211719999998877</v>
      </c>
      <c r="P18" s="325">
        <f t="shared" si="7"/>
        <v>2.409247499999992</v>
      </c>
      <c r="Q18" s="325">
        <f t="shared" si="8"/>
        <v>6.03041949999988</v>
      </c>
    </row>
    <row r="19" spans="1:17" ht="15.75" customHeight="1">
      <c r="A19" s="19">
        <v>6</v>
      </c>
      <c r="B19" s="328" t="s">
        <v>875</v>
      </c>
      <c r="C19" s="325">
        <v>354.1972704</v>
      </c>
      <c r="D19" s="325">
        <v>235.655442</v>
      </c>
      <c r="E19" s="325">
        <f t="shared" si="0"/>
        <v>589.8527124</v>
      </c>
      <c r="F19" s="325">
        <v>25.20263414154091</v>
      </c>
      <c r="G19" s="325">
        <v>12.918883594497242</v>
      </c>
      <c r="H19" s="325">
        <f t="shared" si="1"/>
        <v>38.12151773603815</v>
      </c>
      <c r="I19" s="325">
        <f t="shared" si="2"/>
        <v>328.9946362584591</v>
      </c>
      <c r="J19" s="448">
        <f t="shared" si="3"/>
        <v>222.73655840550276</v>
      </c>
      <c r="K19" s="20">
        <f t="shared" si="4"/>
        <v>551.7311946639618</v>
      </c>
      <c r="L19" s="325">
        <v>353.77389719999996</v>
      </c>
      <c r="M19" s="325">
        <v>235.37376224999997</v>
      </c>
      <c r="N19" s="325">
        <f t="shared" si="5"/>
        <v>589.14765945</v>
      </c>
      <c r="O19" s="325">
        <f t="shared" si="6"/>
        <v>0.42337320000001455</v>
      </c>
      <c r="P19" s="325">
        <f t="shared" si="7"/>
        <v>0.28167975000002343</v>
      </c>
      <c r="Q19" s="325">
        <f t="shared" si="8"/>
        <v>0.705052950000038</v>
      </c>
    </row>
    <row r="20" spans="1:17" ht="15.75" customHeight="1">
      <c r="A20" s="19">
        <v>7</v>
      </c>
      <c r="B20" s="328" t="s">
        <v>876</v>
      </c>
      <c r="C20" s="325">
        <v>863.8341456</v>
      </c>
      <c r="D20" s="325">
        <v>574.728363</v>
      </c>
      <c r="E20" s="325">
        <f t="shared" si="0"/>
        <v>1438.5625086</v>
      </c>
      <c r="F20" s="325">
        <v>61.46545371719325</v>
      </c>
      <c r="G20" s="325">
        <v>31.507224093950505</v>
      </c>
      <c r="H20" s="325">
        <f t="shared" si="1"/>
        <v>92.97267781114375</v>
      </c>
      <c r="I20" s="325">
        <f t="shared" si="2"/>
        <v>802.3686918828068</v>
      </c>
      <c r="J20" s="448">
        <f t="shared" si="3"/>
        <v>543.2211389060494</v>
      </c>
      <c r="K20" s="20">
        <f t="shared" si="4"/>
        <v>1345.5898307888563</v>
      </c>
      <c r="L20" s="325">
        <v>856.4069781119999</v>
      </c>
      <c r="M20" s="325">
        <v>569.7869007599999</v>
      </c>
      <c r="N20" s="325">
        <f t="shared" si="5"/>
        <v>1426.193878872</v>
      </c>
      <c r="O20" s="325">
        <f t="shared" si="6"/>
        <v>7.427167488000123</v>
      </c>
      <c r="P20" s="325">
        <f t="shared" si="7"/>
        <v>4.941462240000078</v>
      </c>
      <c r="Q20" s="325">
        <f t="shared" si="8"/>
        <v>12.3686297280002</v>
      </c>
    </row>
    <row r="21" spans="1:17" ht="15.75" customHeight="1">
      <c r="A21" s="19">
        <v>8</v>
      </c>
      <c r="B21" s="328" t="s">
        <v>877</v>
      </c>
      <c r="C21" s="325">
        <v>513.2430432</v>
      </c>
      <c r="D21" s="325">
        <v>341.472186</v>
      </c>
      <c r="E21" s="325">
        <f t="shared" si="0"/>
        <v>854.7152292000001</v>
      </c>
      <c r="F21" s="325">
        <v>36.519413683942034</v>
      </c>
      <c r="G21" s="325">
        <v>18.719870775114586</v>
      </c>
      <c r="H21" s="325">
        <f t="shared" si="1"/>
        <v>55.23928445905662</v>
      </c>
      <c r="I21" s="325">
        <f t="shared" si="2"/>
        <v>476.72362951605794</v>
      </c>
      <c r="J21" s="448">
        <f t="shared" si="3"/>
        <v>322.7523152248854</v>
      </c>
      <c r="K21" s="20">
        <f t="shared" si="4"/>
        <v>799.4759447409433</v>
      </c>
      <c r="L21" s="325">
        <v>507.528852632</v>
      </c>
      <c r="M21" s="325">
        <v>337.670405985</v>
      </c>
      <c r="N21" s="325">
        <f t="shared" si="5"/>
        <v>845.1992586169999</v>
      </c>
      <c r="O21" s="325">
        <f t="shared" si="6"/>
        <v>5.714190567999992</v>
      </c>
      <c r="P21" s="325">
        <f t="shared" si="7"/>
        <v>3.80178001500002</v>
      </c>
      <c r="Q21" s="325">
        <f t="shared" si="8"/>
        <v>9.515970583000012</v>
      </c>
    </row>
    <row r="22" spans="1:17" ht="15.75" customHeight="1">
      <c r="A22" s="19">
        <v>9</v>
      </c>
      <c r="B22" s="328" t="s">
        <v>878</v>
      </c>
      <c r="C22" s="325">
        <v>790.4720256</v>
      </c>
      <c r="D22" s="325">
        <v>525.9188879999999</v>
      </c>
      <c r="E22" s="325">
        <f t="shared" si="0"/>
        <v>1316.3909136</v>
      </c>
      <c r="F22" s="325">
        <v>56.24542853710135</v>
      </c>
      <c r="G22" s="325">
        <v>28.83143642496248</v>
      </c>
      <c r="H22" s="325">
        <f t="shared" si="1"/>
        <v>85.07686496206382</v>
      </c>
      <c r="I22" s="325">
        <f t="shared" si="2"/>
        <v>734.2265970628987</v>
      </c>
      <c r="J22" s="448">
        <f t="shared" si="3"/>
        <v>497.08745157503745</v>
      </c>
      <c r="K22" s="20">
        <f t="shared" si="4"/>
        <v>1231.3140486379361</v>
      </c>
      <c r="L22" s="325">
        <v>784.483620192</v>
      </c>
      <c r="M22" s="325">
        <v>521.93466666</v>
      </c>
      <c r="N22" s="325">
        <f t="shared" si="5"/>
        <v>1306.418286852</v>
      </c>
      <c r="O22" s="325">
        <f t="shared" si="6"/>
        <v>5.988405408000062</v>
      </c>
      <c r="P22" s="325">
        <f t="shared" si="7"/>
        <v>3.9842213399999764</v>
      </c>
      <c r="Q22" s="325">
        <f t="shared" si="8"/>
        <v>9.972626748000039</v>
      </c>
    </row>
    <row r="23" spans="1:17" ht="15.75" customHeight="1">
      <c r="A23" s="19">
        <v>10</v>
      </c>
      <c r="B23" s="328" t="s">
        <v>879</v>
      </c>
      <c r="C23" s="325">
        <v>295.9094832</v>
      </c>
      <c r="D23" s="325">
        <v>196.87526099999997</v>
      </c>
      <c r="E23" s="325">
        <f t="shared" si="0"/>
        <v>492.7847442</v>
      </c>
      <c r="F23" s="325">
        <v>21.055211508772956</v>
      </c>
      <c r="G23" s="325">
        <v>10.792912558731672</v>
      </c>
      <c r="H23" s="325">
        <f t="shared" si="1"/>
        <v>31.848124067504628</v>
      </c>
      <c r="I23" s="325">
        <f t="shared" si="2"/>
        <v>274.85427169122704</v>
      </c>
      <c r="J23" s="448">
        <f t="shared" si="3"/>
        <v>186.0823484412683</v>
      </c>
      <c r="K23" s="20">
        <f t="shared" si="4"/>
        <v>460.93662013249536</v>
      </c>
      <c r="L23" s="325">
        <v>307.9628784</v>
      </c>
      <c r="M23" s="325">
        <v>204.894657</v>
      </c>
      <c r="N23" s="325">
        <f t="shared" si="5"/>
        <v>512.8575354</v>
      </c>
      <c r="O23" s="325">
        <f t="shared" si="6"/>
        <v>-12.053395200000011</v>
      </c>
      <c r="P23" s="325">
        <f t="shared" si="7"/>
        <v>-8.019396000000029</v>
      </c>
      <c r="Q23" s="325">
        <f t="shared" si="8"/>
        <v>-20.07279120000004</v>
      </c>
    </row>
    <row r="24" spans="1:17" ht="15.75" customHeight="1">
      <c r="A24" s="19">
        <v>11</v>
      </c>
      <c r="B24" s="328" t="s">
        <v>880</v>
      </c>
      <c r="C24" s="325">
        <v>398.6274624</v>
      </c>
      <c r="D24" s="325">
        <v>265.215852</v>
      </c>
      <c r="E24" s="325">
        <f t="shared" si="0"/>
        <v>663.8433144</v>
      </c>
      <c r="F24" s="325">
        <v>28.36403025436205</v>
      </c>
      <c r="G24" s="325">
        <v>14.539416914477233</v>
      </c>
      <c r="H24" s="325">
        <f t="shared" si="1"/>
        <v>42.90344716883928</v>
      </c>
      <c r="I24" s="325">
        <f t="shared" si="2"/>
        <v>370.263432145638</v>
      </c>
      <c r="J24" s="448">
        <f t="shared" si="3"/>
        <v>250.67643508552274</v>
      </c>
      <c r="K24" s="20">
        <f t="shared" si="4"/>
        <v>620.9398672311607</v>
      </c>
      <c r="L24" s="325">
        <v>390.65897564000005</v>
      </c>
      <c r="M24" s="325">
        <v>259.914237825</v>
      </c>
      <c r="N24" s="325">
        <f t="shared" si="5"/>
        <v>650.573213465</v>
      </c>
      <c r="O24" s="325">
        <f t="shared" si="6"/>
        <v>7.968486759999962</v>
      </c>
      <c r="P24" s="325">
        <f t="shared" si="7"/>
        <v>5.301614174999997</v>
      </c>
      <c r="Q24" s="325">
        <f t="shared" si="8"/>
        <v>13.27010093499996</v>
      </c>
    </row>
    <row r="25" spans="1:17" ht="15.75" customHeight="1">
      <c r="A25" s="19">
        <v>12</v>
      </c>
      <c r="B25" s="328" t="s">
        <v>881</v>
      </c>
      <c r="C25" s="325">
        <v>401.7546432</v>
      </c>
      <c r="D25" s="325">
        <v>267.29643599999997</v>
      </c>
      <c r="E25" s="325">
        <f t="shared" si="0"/>
        <v>669.0510792</v>
      </c>
      <c r="F25" s="325">
        <v>28.586542397123186</v>
      </c>
      <c r="G25" s="325">
        <v>14.653476756577435</v>
      </c>
      <c r="H25" s="325">
        <f t="shared" si="1"/>
        <v>43.24001915370062</v>
      </c>
      <c r="I25" s="325">
        <f t="shared" si="2"/>
        <v>373.1681008028768</v>
      </c>
      <c r="J25" s="448">
        <f t="shared" si="3"/>
        <v>252.64295924342252</v>
      </c>
      <c r="K25" s="20">
        <f t="shared" si="4"/>
        <v>625.8110600462993</v>
      </c>
      <c r="L25" s="325">
        <v>393.286679728</v>
      </c>
      <c r="M25" s="325">
        <v>261.66250869</v>
      </c>
      <c r="N25" s="325">
        <f t="shared" si="5"/>
        <v>654.949188418</v>
      </c>
      <c r="O25" s="325">
        <f t="shared" si="6"/>
        <v>8.467963471999951</v>
      </c>
      <c r="P25" s="325">
        <f t="shared" si="7"/>
        <v>5.63392730999999</v>
      </c>
      <c r="Q25" s="325">
        <f t="shared" si="8"/>
        <v>14.101890781999941</v>
      </c>
    </row>
    <row r="26" spans="1:17" ht="15.75" customHeight="1">
      <c r="A26" s="19">
        <v>13</v>
      </c>
      <c r="B26" s="328" t="s">
        <v>882</v>
      </c>
      <c r="C26" s="325">
        <v>1348.3159344</v>
      </c>
      <c r="D26" s="325">
        <v>897.0650369999998</v>
      </c>
      <c r="E26" s="325">
        <f t="shared" si="0"/>
        <v>2245.3809714</v>
      </c>
      <c r="F26" s="325">
        <v>95.93838248250113</v>
      </c>
      <c r="G26" s="325">
        <v>49.17806561707309</v>
      </c>
      <c r="H26" s="325">
        <f t="shared" si="1"/>
        <v>145.1164480995742</v>
      </c>
      <c r="I26" s="325">
        <f t="shared" si="2"/>
        <v>1252.377551917499</v>
      </c>
      <c r="J26" s="448">
        <f t="shared" si="3"/>
        <v>847.8869713829267</v>
      </c>
      <c r="K26" s="20">
        <f t="shared" si="4"/>
        <v>2100.264523300426</v>
      </c>
      <c r="L26" s="325">
        <v>1338.1182569839998</v>
      </c>
      <c r="M26" s="325">
        <v>890.280291945</v>
      </c>
      <c r="N26" s="325">
        <f t="shared" si="5"/>
        <v>2228.398548929</v>
      </c>
      <c r="O26" s="325">
        <f t="shared" si="6"/>
        <v>10.19767741600026</v>
      </c>
      <c r="P26" s="325">
        <f t="shared" si="7"/>
        <v>6.784745054999803</v>
      </c>
      <c r="Q26" s="325">
        <f t="shared" si="8"/>
        <v>16.982422471000064</v>
      </c>
    </row>
    <row r="27" spans="1:17" ht="15.75" customHeight="1">
      <c r="A27" s="19">
        <v>14</v>
      </c>
      <c r="B27" s="328" t="s">
        <v>883</v>
      </c>
      <c r="C27" s="325">
        <v>764.3754816</v>
      </c>
      <c r="D27" s="325">
        <v>508.556268</v>
      </c>
      <c r="E27" s="325">
        <f t="shared" si="0"/>
        <v>1272.9317495999999</v>
      </c>
      <c r="F27" s="325">
        <v>54.388549035890414</v>
      </c>
      <c r="G27" s="325">
        <v>27.879599010253038</v>
      </c>
      <c r="H27" s="325">
        <f t="shared" si="1"/>
        <v>82.26814804614345</v>
      </c>
      <c r="I27" s="325">
        <f t="shared" si="2"/>
        <v>709.9869325641096</v>
      </c>
      <c r="J27" s="448">
        <f t="shared" si="3"/>
        <v>480.67666898974693</v>
      </c>
      <c r="K27" s="20">
        <f t="shared" si="4"/>
        <v>1190.6636015538566</v>
      </c>
      <c r="L27" s="325">
        <v>744.41245748</v>
      </c>
      <c r="M27" s="325">
        <v>495.274417275</v>
      </c>
      <c r="N27" s="325">
        <f t="shared" si="5"/>
        <v>1239.686874755</v>
      </c>
      <c r="O27" s="325">
        <f t="shared" si="6"/>
        <v>19.96302412</v>
      </c>
      <c r="P27" s="325">
        <f t="shared" si="7"/>
        <v>13.28185072499997</v>
      </c>
      <c r="Q27" s="325">
        <f t="shared" si="8"/>
        <v>33.24487484499997</v>
      </c>
    </row>
    <row r="28" spans="1:17" ht="15.75" customHeight="1">
      <c r="A28" s="19">
        <v>15</v>
      </c>
      <c r="B28" s="328" t="s">
        <v>884</v>
      </c>
      <c r="C28" s="325">
        <v>1169.7528095999999</v>
      </c>
      <c r="D28" s="325">
        <v>778.262958</v>
      </c>
      <c r="E28" s="325">
        <f t="shared" si="0"/>
        <v>1948.0157676</v>
      </c>
      <c r="F28" s="325">
        <v>83.23286078149393</v>
      </c>
      <c r="G28" s="325">
        <v>42.66520847123528</v>
      </c>
      <c r="H28" s="325">
        <f t="shared" si="1"/>
        <v>125.89806925272921</v>
      </c>
      <c r="I28" s="325">
        <f t="shared" si="2"/>
        <v>1086.519948818506</v>
      </c>
      <c r="J28" s="448">
        <f t="shared" si="3"/>
        <v>735.5977495287648</v>
      </c>
      <c r="K28" s="20">
        <f t="shared" si="4"/>
        <v>1822.1176983472708</v>
      </c>
      <c r="L28" s="325">
        <v>1155.3548968</v>
      </c>
      <c r="M28" s="325">
        <v>768.6837014999999</v>
      </c>
      <c r="N28" s="325">
        <f t="shared" si="5"/>
        <v>1924.0385982999999</v>
      </c>
      <c r="O28" s="325">
        <f t="shared" si="6"/>
        <v>14.397912799999858</v>
      </c>
      <c r="P28" s="325">
        <f t="shared" si="7"/>
        <v>9.579256500000156</v>
      </c>
      <c r="Q28" s="325">
        <f t="shared" si="8"/>
        <v>23.977169300000014</v>
      </c>
    </row>
    <row r="29" spans="1:17" ht="15.75" customHeight="1">
      <c r="A29" s="19">
        <v>16</v>
      </c>
      <c r="B29" s="328" t="s">
        <v>885</v>
      </c>
      <c r="C29" s="325">
        <v>899.1800976000001</v>
      </c>
      <c r="D29" s="325">
        <v>598.244823</v>
      </c>
      <c r="E29" s="325">
        <f t="shared" si="0"/>
        <v>1497.4249206</v>
      </c>
      <c r="F29" s="325">
        <v>63.980467725162484</v>
      </c>
      <c r="G29" s="325">
        <v>32.796421605012654</v>
      </c>
      <c r="H29" s="325">
        <f t="shared" si="1"/>
        <v>96.77688933017514</v>
      </c>
      <c r="I29" s="325">
        <f t="shared" si="2"/>
        <v>835.1996298748376</v>
      </c>
      <c r="J29" s="448">
        <f t="shared" si="3"/>
        <v>565.4484013949873</v>
      </c>
      <c r="K29" s="20">
        <f t="shared" si="4"/>
        <v>1400.648031269825</v>
      </c>
      <c r="L29" s="325">
        <v>891.8250048639999</v>
      </c>
      <c r="M29" s="325">
        <v>593.3513137199999</v>
      </c>
      <c r="N29" s="325">
        <f t="shared" si="5"/>
        <v>1485.1763185839998</v>
      </c>
      <c r="O29" s="325">
        <f t="shared" si="6"/>
        <v>7.355092736000188</v>
      </c>
      <c r="P29" s="325">
        <f t="shared" si="7"/>
        <v>4.893509280000103</v>
      </c>
      <c r="Q29" s="325">
        <f t="shared" si="8"/>
        <v>12.24860201600029</v>
      </c>
    </row>
    <row r="30" spans="1:17" ht="15.75" customHeight="1">
      <c r="A30" s="19">
        <v>17</v>
      </c>
      <c r="B30" s="328" t="s">
        <v>886</v>
      </c>
      <c r="C30" s="325">
        <v>1478.6334863999998</v>
      </c>
      <c r="D30" s="325">
        <v>983.7682469999999</v>
      </c>
      <c r="E30" s="325">
        <f t="shared" si="0"/>
        <v>2462.4017333999996</v>
      </c>
      <c r="F30" s="325">
        <v>105.21102758664935</v>
      </c>
      <c r="G30" s="325">
        <v>53.93122840318539</v>
      </c>
      <c r="H30" s="325">
        <f t="shared" si="1"/>
        <v>159.14225598983475</v>
      </c>
      <c r="I30" s="325">
        <f t="shared" si="2"/>
        <v>1373.4224588133504</v>
      </c>
      <c r="J30" s="448">
        <f t="shared" si="3"/>
        <v>929.8370185968145</v>
      </c>
      <c r="K30" s="20">
        <f t="shared" si="4"/>
        <v>2303.259477410165</v>
      </c>
      <c r="L30" s="325">
        <v>1459.221445864</v>
      </c>
      <c r="M30" s="325">
        <v>970.8529780949999</v>
      </c>
      <c r="N30" s="325">
        <f t="shared" si="5"/>
        <v>2430.074423959</v>
      </c>
      <c r="O30" s="325">
        <f t="shared" si="6"/>
        <v>19.412040535999722</v>
      </c>
      <c r="P30" s="325">
        <f t="shared" si="7"/>
        <v>12.915268904999948</v>
      </c>
      <c r="Q30" s="325">
        <f t="shared" si="8"/>
        <v>32.32730944099967</v>
      </c>
    </row>
    <row r="31" spans="1:17" ht="15.75" customHeight="1">
      <c r="A31" s="19">
        <v>18</v>
      </c>
      <c r="B31" s="328" t="s">
        <v>887</v>
      </c>
      <c r="C31" s="325">
        <v>1012.424784</v>
      </c>
      <c r="D31" s="325">
        <v>673.58907</v>
      </c>
      <c r="E31" s="325">
        <f t="shared" si="0"/>
        <v>1686.013854</v>
      </c>
      <c r="F31" s="325">
        <v>72.03830621891936</v>
      </c>
      <c r="G31" s="325">
        <v>36.926873879940594</v>
      </c>
      <c r="H31" s="325">
        <f t="shared" si="1"/>
        <v>108.96518009885995</v>
      </c>
      <c r="I31" s="325">
        <f t="shared" si="2"/>
        <v>940.3864777810807</v>
      </c>
      <c r="J31" s="448">
        <f t="shared" si="3"/>
        <v>636.6621961200594</v>
      </c>
      <c r="K31" s="20">
        <f t="shared" si="4"/>
        <v>1577.04867390114</v>
      </c>
      <c r="L31" s="325">
        <v>1005.25660688</v>
      </c>
      <c r="M31" s="325">
        <v>668.8199199000001</v>
      </c>
      <c r="N31" s="325">
        <f t="shared" si="5"/>
        <v>1674.0765267800002</v>
      </c>
      <c r="O31" s="325">
        <f t="shared" si="6"/>
        <v>7.168177119999996</v>
      </c>
      <c r="P31" s="325">
        <f t="shared" si="7"/>
        <v>4.7691500999999334</v>
      </c>
      <c r="Q31" s="325">
        <f t="shared" si="8"/>
        <v>11.93732721999993</v>
      </c>
    </row>
    <row r="32" spans="1:17" ht="15.75" customHeight="1">
      <c r="A32" s="19">
        <v>19</v>
      </c>
      <c r="B32" s="328" t="s">
        <v>888</v>
      </c>
      <c r="C32" s="325">
        <v>1220.7952272</v>
      </c>
      <c r="D32" s="325">
        <v>812.222631</v>
      </c>
      <c r="E32" s="325">
        <f t="shared" si="0"/>
        <v>2033.0178581999999</v>
      </c>
      <c r="F32" s="325">
        <v>86.86474471730122</v>
      </c>
      <c r="G32" s="325">
        <v>44.52691409819124</v>
      </c>
      <c r="H32" s="325">
        <f t="shared" si="1"/>
        <v>131.39165881549246</v>
      </c>
      <c r="I32" s="325">
        <f t="shared" si="2"/>
        <v>1133.9304824826988</v>
      </c>
      <c r="J32" s="448">
        <f t="shared" si="3"/>
        <v>767.6957169018087</v>
      </c>
      <c r="K32" s="20">
        <f t="shared" si="4"/>
        <v>1901.6261993845076</v>
      </c>
      <c r="L32" s="325">
        <v>1194.781655816</v>
      </c>
      <c r="M32" s="325">
        <v>794.9152145549999</v>
      </c>
      <c r="N32" s="325">
        <f t="shared" si="5"/>
        <v>1989.696870371</v>
      </c>
      <c r="O32" s="325">
        <f t="shared" si="6"/>
        <v>26.013571383999988</v>
      </c>
      <c r="P32" s="325">
        <f t="shared" si="7"/>
        <v>17.307416445000058</v>
      </c>
      <c r="Q32" s="325">
        <f t="shared" si="8"/>
        <v>43.320987829000046</v>
      </c>
    </row>
    <row r="33" spans="1:17" ht="15.75" customHeight="1">
      <c r="A33" s="19">
        <v>20</v>
      </c>
      <c r="B33" s="328" t="s">
        <v>889</v>
      </c>
      <c r="C33" s="325">
        <v>594.9791808</v>
      </c>
      <c r="D33" s="325">
        <v>395.85308399999997</v>
      </c>
      <c r="E33" s="325">
        <f t="shared" si="0"/>
        <v>990.8322648</v>
      </c>
      <c r="F33" s="325">
        <v>42.33528564068833</v>
      </c>
      <c r="G33" s="325">
        <v>21.70108981705052</v>
      </c>
      <c r="H33" s="325">
        <f t="shared" si="1"/>
        <v>64.03637545773886</v>
      </c>
      <c r="I33" s="325">
        <f t="shared" si="2"/>
        <v>552.6438951593117</v>
      </c>
      <c r="J33" s="448">
        <f t="shared" si="3"/>
        <v>374.15199418294947</v>
      </c>
      <c r="K33" s="20">
        <f t="shared" si="4"/>
        <v>926.7958893422611</v>
      </c>
      <c r="L33" s="325">
        <v>590.81363144</v>
      </c>
      <c r="M33" s="325">
        <v>393.08164995</v>
      </c>
      <c r="N33" s="325">
        <f t="shared" si="5"/>
        <v>983.89528139</v>
      </c>
      <c r="O33" s="325">
        <f t="shared" si="6"/>
        <v>4.16554936</v>
      </c>
      <c r="P33" s="325">
        <f t="shared" si="7"/>
        <v>2.771434049999982</v>
      </c>
      <c r="Q33" s="325">
        <f t="shared" si="8"/>
        <v>6.936983409999982</v>
      </c>
    </row>
    <row r="34" spans="1:17" ht="15.75" customHeight="1">
      <c r="A34" s="19">
        <v>21</v>
      </c>
      <c r="B34" s="328" t="s">
        <v>890</v>
      </c>
      <c r="C34" s="325">
        <v>2239.320216</v>
      </c>
      <c r="D34" s="325">
        <v>1489.870305</v>
      </c>
      <c r="E34" s="325">
        <f t="shared" si="0"/>
        <v>3729.190521</v>
      </c>
      <c r="F34" s="325">
        <v>159.33710631329689</v>
      </c>
      <c r="G34" s="325">
        <v>81.67628499405969</v>
      </c>
      <c r="H34" s="325">
        <f t="shared" si="1"/>
        <v>241.01339130735659</v>
      </c>
      <c r="I34" s="325">
        <f t="shared" si="2"/>
        <v>2079.9831096867033</v>
      </c>
      <c r="J34" s="448">
        <f t="shared" si="3"/>
        <v>1408.1940200059403</v>
      </c>
      <c r="K34" s="20">
        <f t="shared" si="4"/>
        <v>3488.1771296926436</v>
      </c>
      <c r="L34" s="325">
        <v>2128.0740128</v>
      </c>
      <c r="M34" s="325">
        <v>1415.855694</v>
      </c>
      <c r="N34" s="325">
        <f t="shared" si="5"/>
        <v>3543.9297068000005</v>
      </c>
      <c r="O34" s="325">
        <f t="shared" si="6"/>
        <v>111.24620319999985</v>
      </c>
      <c r="P34" s="325">
        <f t="shared" si="7"/>
        <v>74.01461099999983</v>
      </c>
      <c r="Q34" s="325">
        <f t="shared" si="8"/>
        <v>185.2608141999997</v>
      </c>
    </row>
    <row r="35" spans="1:17" ht="15.75" customHeight="1">
      <c r="A35" s="19">
        <v>22</v>
      </c>
      <c r="B35" s="328" t="s">
        <v>891</v>
      </c>
      <c r="C35" s="325">
        <v>568.5302783999999</v>
      </c>
      <c r="D35" s="325">
        <v>378.25603199999995</v>
      </c>
      <c r="E35" s="325">
        <f t="shared" si="0"/>
        <v>946.7863103999998</v>
      </c>
      <c r="F35" s="325">
        <v>40.453334348743745</v>
      </c>
      <c r="G35" s="325">
        <v>20.736400589146687</v>
      </c>
      <c r="H35" s="325">
        <f t="shared" si="1"/>
        <v>61.189734937890435</v>
      </c>
      <c r="I35" s="325">
        <f t="shared" si="2"/>
        <v>528.0769440512562</v>
      </c>
      <c r="J35" s="448">
        <f t="shared" si="3"/>
        <v>357.51963141085326</v>
      </c>
      <c r="K35" s="20">
        <f t="shared" si="4"/>
        <v>885.5965754621095</v>
      </c>
      <c r="L35" s="325">
        <v>562.6679001440001</v>
      </c>
      <c r="M35" s="325">
        <v>374.35565937</v>
      </c>
      <c r="N35" s="325">
        <f t="shared" si="5"/>
        <v>937.0235595140001</v>
      </c>
      <c r="O35" s="325">
        <f t="shared" si="6"/>
        <v>5.862378255999829</v>
      </c>
      <c r="P35" s="325">
        <f t="shared" si="7"/>
        <v>3.9003726299999357</v>
      </c>
      <c r="Q35" s="325">
        <f t="shared" si="8"/>
        <v>9.762750885999765</v>
      </c>
    </row>
    <row r="36" spans="1:17" ht="15.75" customHeight="1">
      <c r="A36" s="19">
        <v>23</v>
      </c>
      <c r="B36" s="328" t="s">
        <v>892</v>
      </c>
      <c r="C36" s="325">
        <v>800.431656</v>
      </c>
      <c r="D36" s="325">
        <v>532.545255</v>
      </c>
      <c r="E36" s="325">
        <f t="shared" si="0"/>
        <v>1332.976911</v>
      </c>
      <c r="F36" s="325">
        <v>56.95409837205715</v>
      </c>
      <c r="G36" s="325">
        <v>29.19470095728513</v>
      </c>
      <c r="H36" s="325">
        <f t="shared" si="1"/>
        <v>86.14879932934228</v>
      </c>
      <c r="I36" s="325">
        <f t="shared" si="2"/>
        <v>743.4775576279428</v>
      </c>
      <c r="J36" s="448">
        <f t="shared" si="3"/>
        <v>503.35055404271486</v>
      </c>
      <c r="K36" s="20">
        <f t="shared" si="4"/>
        <v>1246.8281116706576</v>
      </c>
      <c r="L36" s="325">
        <v>783.330922144</v>
      </c>
      <c r="M36" s="325">
        <v>521.16775062</v>
      </c>
      <c r="N36" s="325">
        <f t="shared" si="5"/>
        <v>1304.498672764</v>
      </c>
      <c r="O36" s="325">
        <f t="shared" si="6"/>
        <v>17.10073385599992</v>
      </c>
      <c r="P36" s="325">
        <f t="shared" si="7"/>
        <v>11.377504380000005</v>
      </c>
      <c r="Q36" s="325">
        <f t="shared" si="8"/>
        <v>28.478238235999925</v>
      </c>
    </row>
    <row r="37" spans="1:17" ht="15.75" customHeight="1">
      <c r="A37" s="19">
        <v>24</v>
      </c>
      <c r="B37" s="328" t="s">
        <v>893</v>
      </c>
      <c r="C37" s="325">
        <v>2355.0259056</v>
      </c>
      <c r="D37" s="325">
        <v>1566.8519129999997</v>
      </c>
      <c r="E37" s="325">
        <f t="shared" si="0"/>
        <v>3921.8778186</v>
      </c>
      <c r="F37" s="325">
        <v>167.57005559545908</v>
      </c>
      <c r="G37" s="325">
        <v>85.89649915176717</v>
      </c>
      <c r="H37" s="325">
        <f t="shared" si="1"/>
        <v>253.46655474722627</v>
      </c>
      <c r="I37" s="325">
        <f t="shared" si="2"/>
        <v>2187.455850004541</v>
      </c>
      <c r="J37" s="448">
        <f t="shared" si="3"/>
        <v>1480.9554138482326</v>
      </c>
      <c r="K37" s="20">
        <f t="shared" si="4"/>
        <v>3668.4112638527736</v>
      </c>
      <c r="L37" s="325">
        <v>2338.46737216</v>
      </c>
      <c r="M37" s="325">
        <v>1555.8351468</v>
      </c>
      <c r="N37" s="325">
        <f t="shared" si="5"/>
        <v>3894.3025189600003</v>
      </c>
      <c r="O37" s="325">
        <f t="shared" si="6"/>
        <v>16.558533439999792</v>
      </c>
      <c r="P37" s="325">
        <f t="shared" si="7"/>
        <v>11.016766199999665</v>
      </c>
      <c r="Q37" s="325">
        <f t="shared" si="8"/>
        <v>27.575299639999457</v>
      </c>
    </row>
    <row r="38" spans="1:17" ht="15.75" customHeight="1">
      <c r="A38" s="19">
        <v>25</v>
      </c>
      <c r="B38" s="328" t="s">
        <v>894</v>
      </c>
      <c r="C38" s="325">
        <v>615.5205744</v>
      </c>
      <c r="D38" s="325">
        <v>409.51973699999996</v>
      </c>
      <c r="E38" s="325">
        <f t="shared" si="0"/>
        <v>1025.0403114</v>
      </c>
      <c r="F38" s="325">
        <v>43.79689269111407</v>
      </c>
      <c r="G38" s="325">
        <v>22.450310364367166</v>
      </c>
      <c r="H38" s="325">
        <f t="shared" si="1"/>
        <v>66.24720305548124</v>
      </c>
      <c r="I38" s="325">
        <f t="shared" si="2"/>
        <v>571.7236817088859</v>
      </c>
      <c r="J38" s="448">
        <f t="shared" si="3"/>
        <v>387.0694266356328</v>
      </c>
      <c r="K38" s="20">
        <f t="shared" si="4"/>
        <v>958.7931083445187</v>
      </c>
      <c r="L38" s="325">
        <v>606.020701776</v>
      </c>
      <c r="M38" s="325">
        <v>403.19925723</v>
      </c>
      <c r="N38" s="325">
        <f t="shared" si="5"/>
        <v>1009.219959006</v>
      </c>
      <c r="O38" s="325">
        <f t="shared" si="6"/>
        <v>9.499872623999977</v>
      </c>
      <c r="P38" s="325">
        <f t="shared" si="7"/>
        <v>6.320479769999963</v>
      </c>
      <c r="Q38" s="325">
        <f t="shared" si="8"/>
        <v>15.82035239399994</v>
      </c>
    </row>
    <row r="39" spans="1:17" ht="15.75" customHeight="1">
      <c r="A39" s="19">
        <v>26</v>
      </c>
      <c r="B39" s="328" t="s">
        <v>895</v>
      </c>
      <c r="C39" s="325">
        <v>462.222648</v>
      </c>
      <c r="D39" s="325">
        <v>307.527165</v>
      </c>
      <c r="E39" s="325">
        <f t="shared" si="0"/>
        <v>769.749813</v>
      </c>
      <c r="F39" s="325">
        <v>32.8890967350556</v>
      </c>
      <c r="G39" s="325">
        <v>16.85896838648329</v>
      </c>
      <c r="H39" s="325">
        <f t="shared" si="1"/>
        <v>49.74806512153889</v>
      </c>
      <c r="I39" s="325">
        <f t="shared" si="2"/>
        <v>429.3335512649444</v>
      </c>
      <c r="J39" s="448">
        <f t="shared" si="3"/>
        <v>290.6681966135167</v>
      </c>
      <c r="K39" s="20">
        <f t="shared" si="4"/>
        <v>720.0017478784612</v>
      </c>
      <c r="L39" s="325">
        <v>453.71508959199997</v>
      </c>
      <c r="M39" s="325">
        <v>301.86689428499994</v>
      </c>
      <c r="N39" s="325">
        <f t="shared" si="5"/>
        <v>755.5819838769999</v>
      </c>
      <c r="O39" s="325">
        <f t="shared" si="6"/>
        <v>8.507558408000023</v>
      </c>
      <c r="P39" s="325">
        <f t="shared" si="7"/>
        <v>5.660270715000081</v>
      </c>
      <c r="Q39" s="325">
        <f t="shared" si="8"/>
        <v>14.167829123000104</v>
      </c>
    </row>
    <row r="40" spans="1:17" ht="15.75" customHeight="1">
      <c r="A40" s="19">
        <v>27</v>
      </c>
      <c r="B40" s="328" t="s">
        <v>896</v>
      </c>
      <c r="C40" s="325">
        <v>911.8319664</v>
      </c>
      <c r="D40" s="325">
        <v>606.6623969999999</v>
      </c>
      <c r="E40" s="325">
        <f t="shared" si="0"/>
        <v>1518.4943634</v>
      </c>
      <c r="F40" s="325">
        <v>64.88070171119259</v>
      </c>
      <c r="G40" s="325">
        <v>33.25788202252369</v>
      </c>
      <c r="H40" s="325">
        <f t="shared" si="1"/>
        <v>98.13858373371627</v>
      </c>
      <c r="I40" s="325">
        <f t="shared" si="2"/>
        <v>846.9512646888074</v>
      </c>
      <c r="J40" s="448">
        <f t="shared" si="3"/>
        <v>573.4045149774763</v>
      </c>
      <c r="K40" s="20">
        <f t="shared" si="4"/>
        <v>1420.3557796662838</v>
      </c>
      <c r="L40" s="325">
        <v>910.218068704</v>
      </c>
      <c r="M40" s="325">
        <v>605.58863442</v>
      </c>
      <c r="N40" s="325">
        <f t="shared" si="5"/>
        <v>1515.8067031239998</v>
      </c>
      <c r="O40" s="325">
        <f t="shared" si="6"/>
        <v>1.6138976960000946</v>
      </c>
      <c r="P40" s="325">
        <f t="shared" si="7"/>
        <v>1.073762580000107</v>
      </c>
      <c r="Q40" s="325">
        <f t="shared" si="8"/>
        <v>2.6876602760002015</v>
      </c>
    </row>
    <row r="41" spans="1:17" ht="15.75" customHeight="1">
      <c r="A41" s="19">
        <v>28</v>
      </c>
      <c r="B41" s="328" t="s">
        <v>897</v>
      </c>
      <c r="C41" s="325">
        <v>908.5726512</v>
      </c>
      <c r="D41" s="325">
        <v>604.4939009999999</v>
      </c>
      <c r="E41" s="325">
        <f t="shared" si="0"/>
        <v>1513.0665522</v>
      </c>
      <c r="F41" s="325">
        <v>64.64878764690633</v>
      </c>
      <c r="G41" s="325">
        <v>33.13900275047558</v>
      </c>
      <c r="H41" s="325">
        <f t="shared" si="1"/>
        <v>97.78779039738191</v>
      </c>
      <c r="I41" s="325">
        <f t="shared" si="2"/>
        <v>843.9238635530937</v>
      </c>
      <c r="J41" s="448">
        <f t="shared" si="3"/>
        <v>571.3548982495244</v>
      </c>
      <c r="K41" s="20">
        <f t="shared" si="4"/>
        <v>1415.2787618026182</v>
      </c>
      <c r="L41" s="325">
        <v>901.8918079679999</v>
      </c>
      <c r="M41" s="325">
        <v>600.0489851399999</v>
      </c>
      <c r="N41" s="325">
        <f t="shared" si="5"/>
        <v>1501.9407931079998</v>
      </c>
      <c r="O41" s="325">
        <f t="shared" si="6"/>
        <v>6.680843232000257</v>
      </c>
      <c r="P41" s="325">
        <f t="shared" si="7"/>
        <v>4.444915860000037</v>
      </c>
      <c r="Q41" s="325">
        <f t="shared" si="8"/>
        <v>11.125759092000294</v>
      </c>
    </row>
    <row r="42" spans="1:17" ht="15.75" customHeight="1">
      <c r="A42" s="19">
        <v>29</v>
      </c>
      <c r="B42" s="328" t="s">
        <v>898</v>
      </c>
      <c r="C42" s="325">
        <v>222.50882399999998</v>
      </c>
      <c r="D42" s="325">
        <v>148.040145</v>
      </c>
      <c r="E42" s="325">
        <f t="shared" si="0"/>
        <v>370.54896899999994</v>
      </c>
      <c r="F42" s="325">
        <v>15.832444101569555</v>
      </c>
      <c r="G42" s="325">
        <v>8.115719222675505</v>
      </c>
      <c r="H42" s="325">
        <f t="shared" si="1"/>
        <v>23.94816332424506</v>
      </c>
      <c r="I42" s="325">
        <f t="shared" si="2"/>
        <v>206.6763798984304</v>
      </c>
      <c r="J42" s="448">
        <f t="shared" si="3"/>
        <v>139.9244257773245</v>
      </c>
      <c r="K42" s="20">
        <f t="shared" si="4"/>
        <v>346.60080567575494</v>
      </c>
      <c r="L42" s="325">
        <v>215.995407552</v>
      </c>
      <c r="M42" s="325">
        <v>143.70662196</v>
      </c>
      <c r="N42" s="325">
        <f t="shared" si="5"/>
        <v>359.70202951199997</v>
      </c>
      <c r="O42" s="325">
        <f t="shared" si="6"/>
        <v>6.513416447999987</v>
      </c>
      <c r="P42" s="325">
        <f t="shared" si="7"/>
        <v>4.333523039999989</v>
      </c>
      <c r="Q42" s="325">
        <f t="shared" si="8"/>
        <v>10.846939487999975</v>
      </c>
    </row>
    <row r="43" spans="1:17" ht="15.75" customHeight="1">
      <c r="A43" s="19">
        <v>30</v>
      </c>
      <c r="B43" s="328" t="s">
        <v>899</v>
      </c>
      <c r="C43" s="325">
        <v>1587.3360528</v>
      </c>
      <c r="D43" s="325">
        <v>1056.0905189999999</v>
      </c>
      <c r="E43" s="325">
        <f t="shared" si="0"/>
        <v>2643.4265717999997</v>
      </c>
      <c r="F43" s="325">
        <v>112.94567502798031</v>
      </c>
      <c r="G43" s="325">
        <v>57.89601277365443</v>
      </c>
      <c r="H43" s="325">
        <f t="shared" si="1"/>
        <v>170.84168780163475</v>
      </c>
      <c r="I43" s="325">
        <f t="shared" si="2"/>
        <v>1474.3903777720197</v>
      </c>
      <c r="J43" s="448">
        <f t="shared" si="3"/>
        <v>998.1945062263454</v>
      </c>
      <c r="K43" s="20">
        <f t="shared" si="4"/>
        <v>2472.584883998365</v>
      </c>
      <c r="L43" s="325">
        <v>1566.458302256</v>
      </c>
      <c r="M43" s="325">
        <v>1042.20008013</v>
      </c>
      <c r="N43" s="325">
        <f t="shared" si="5"/>
        <v>2608.658382386</v>
      </c>
      <c r="O43" s="325">
        <f t="shared" si="6"/>
        <v>20.877750544000037</v>
      </c>
      <c r="P43" s="325">
        <f t="shared" si="7"/>
        <v>13.890438869999798</v>
      </c>
      <c r="Q43" s="325">
        <f t="shared" si="8"/>
        <v>34.768189413999835</v>
      </c>
    </row>
    <row r="44" spans="1:17" ht="15.75" customHeight="1">
      <c r="A44" s="19">
        <v>31</v>
      </c>
      <c r="B44" s="328" t="s">
        <v>900</v>
      </c>
      <c r="C44" s="325">
        <v>1387.6038959999998</v>
      </c>
      <c r="D44" s="325">
        <v>923.204205</v>
      </c>
      <c r="E44" s="325">
        <f t="shared" si="0"/>
        <v>2310.8081009999996</v>
      </c>
      <c r="F44" s="325">
        <v>98.73388714930304</v>
      </c>
      <c r="G44" s="325">
        <v>50.61104278824745</v>
      </c>
      <c r="H44" s="325">
        <f t="shared" si="1"/>
        <v>149.3449299375505</v>
      </c>
      <c r="I44" s="325">
        <f t="shared" si="2"/>
        <v>1288.8700088506969</v>
      </c>
      <c r="J44" s="448">
        <f t="shared" si="3"/>
        <v>872.5931622117525</v>
      </c>
      <c r="K44" s="20">
        <f t="shared" si="4"/>
        <v>2161.4631710624494</v>
      </c>
      <c r="L44" s="325">
        <v>1370.1927544320001</v>
      </c>
      <c r="M44" s="325">
        <v>911.6201793600001</v>
      </c>
      <c r="N44" s="325">
        <f t="shared" si="5"/>
        <v>2281.812933792</v>
      </c>
      <c r="O44" s="325">
        <f t="shared" si="6"/>
        <v>17.41114156799972</v>
      </c>
      <c r="P44" s="325">
        <f t="shared" si="7"/>
        <v>11.584025639999936</v>
      </c>
      <c r="Q44" s="325">
        <f t="shared" si="8"/>
        <v>28.995167207999657</v>
      </c>
    </row>
    <row r="45" spans="1:17" ht="15.75" customHeight="1">
      <c r="A45" s="19">
        <v>32</v>
      </c>
      <c r="B45" s="328" t="s">
        <v>901</v>
      </c>
      <c r="C45" s="325">
        <v>795.1242576000001</v>
      </c>
      <c r="D45" s="325">
        <v>529.0141229999999</v>
      </c>
      <c r="E45" s="325">
        <f t="shared" si="0"/>
        <v>1324.1383806</v>
      </c>
      <c r="F45" s="325">
        <v>56.57645452413156</v>
      </c>
      <c r="G45" s="325">
        <v>29.001120521044648</v>
      </c>
      <c r="H45" s="325">
        <f t="shared" si="1"/>
        <v>85.57757504517622</v>
      </c>
      <c r="I45" s="325">
        <f t="shared" si="2"/>
        <v>738.5478030758685</v>
      </c>
      <c r="J45" s="448">
        <f t="shared" si="3"/>
        <v>500.0130024789553</v>
      </c>
      <c r="K45" s="20">
        <f t="shared" si="4"/>
        <v>1238.5608055548237</v>
      </c>
      <c r="L45" s="325">
        <v>784.918164552</v>
      </c>
      <c r="M45" s="325">
        <v>522.2237788350001</v>
      </c>
      <c r="N45" s="325">
        <f t="shared" si="5"/>
        <v>1307.141943387</v>
      </c>
      <c r="O45" s="325">
        <f t="shared" si="6"/>
        <v>10.20609304800007</v>
      </c>
      <c r="P45" s="325">
        <f t="shared" si="7"/>
        <v>6.790344164999851</v>
      </c>
      <c r="Q45" s="325">
        <f t="shared" si="8"/>
        <v>16.996437212999922</v>
      </c>
    </row>
    <row r="46" spans="1:17" ht="15.75" customHeight="1">
      <c r="A46" s="19">
        <v>33</v>
      </c>
      <c r="B46" s="328" t="s">
        <v>902</v>
      </c>
      <c r="C46" s="325">
        <v>261.0149904</v>
      </c>
      <c r="D46" s="325">
        <v>173.659167</v>
      </c>
      <c r="E46" s="325">
        <f t="shared" si="0"/>
        <v>434.6741574</v>
      </c>
      <c r="F46" s="325">
        <v>18.57232073268121</v>
      </c>
      <c r="G46" s="325">
        <v>9.520181433324833</v>
      </c>
      <c r="H46" s="325">
        <f t="shared" si="1"/>
        <v>28.092502166006042</v>
      </c>
      <c r="I46" s="325">
        <f t="shared" si="2"/>
        <v>242.44266966731877</v>
      </c>
      <c r="J46" s="448">
        <f t="shared" si="3"/>
        <v>164.13898556667516</v>
      </c>
      <c r="K46" s="20">
        <f t="shared" si="4"/>
        <v>406.58165523399396</v>
      </c>
      <c r="L46" s="325">
        <v>259.924581768</v>
      </c>
      <c r="M46" s="325">
        <v>172.93369351500002</v>
      </c>
      <c r="N46" s="325">
        <f t="shared" si="5"/>
        <v>432.858275283</v>
      </c>
      <c r="O46" s="325">
        <f t="shared" si="6"/>
        <v>1.090408631999992</v>
      </c>
      <c r="P46" s="325">
        <f t="shared" si="7"/>
        <v>0.7254734849999807</v>
      </c>
      <c r="Q46" s="325">
        <f t="shared" si="8"/>
        <v>1.8158821169999726</v>
      </c>
    </row>
    <row r="47" spans="1:17" ht="15.75" customHeight="1">
      <c r="A47" s="19">
        <v>34</v>
      </c>
      <c r="B47" s="328" t="s">
        <v>903</v>
      </c>
      <c r="C47" s="325">
        <v>372.2666496</v>
      </c>
      <c r="D47" s="325">
        <v>247.67740799999996</v>
      </c>
      <c r="E47" s="325">
        <f t="shared" si="0"/>
        <v>619.9440576</v>
      </c>
      <c r="F47" s="325">
        <v>26.48834691010088</v>
      </c>
      <c r="G47" s="325">
        <v>13.577940639872004</v>
      </c>
      <c r="H47" s="325">
        <f t="shared" si="1"/>
        <v>40.066287549972884</v>
      </c>
      <c r="I47" s="325">
        <f t="shared" si="2"/>
        <v>345.77830268989914</v>
      </c>
      <c r="J47" s="448">
        <f t="shared" si="3"/>
        <v>234.09946736012796</v>
      </c>
      <c r="K47" s="20">
        <f t="shared" si="4"/>
        <v>579.877770050027</v>
      </c>
      <c r="L47" s="325">
        <v>371.62246265600004</v>
      </c>
      <c r="M47" s="325">
        <v>247.24881588</v>
      </c>
      <c r="N47" s="325">
        <f t="shared" si="5"/>
        <v>618.8712785360001</v>
      </c>
      <c r="O47" s="325">
        <f t="shared" si="6"/>
        <v>0.644186943999955</v>
      </c>
      <c r="P47" s="325">
        <f t="shared" si="7"/>
        <v>0.42859211999996205</v>
      </c>
      <c r="Q47" s="325">
        <f t="shared" si="8"/>
        <v>1.072779063999917</v>
      </c>
    </row>
    <row r="48" spans="1:17" ht="15.75" customHeight="1">
      <c r="A48" s="19">
        <v>35</v>
      </c>
      <c r="B48" s="328" t="s">
        <v>904</v>
      </c>
      <c r="C48" s="325">
        <v>892.4027040000001</v>
      </c>
      <c r="D48" s="325">
        <v>593.73567</v>
      </c>
      <c r="E48" s="325">
        <f t="shared" si="0"/>
        <v>1486.138374</v>
      </c>
      <c r="F48" s="325">
        <v>63.49822750026995</v>
      </c>
      <c r="G48" s="325">
        <v>32.54922501060183</v>
      </c>
      <c r="H48" s="325">
        <f t="shared" si="1"/>
        <v>96.04745251087178</v>
      </c>
      <c r="I48" s="325">
        <f t="shared" si="2"/>
        <v>828.9044764997301</v>
      </c>
      <c r="J48" s="448">
        <f t="shared" si="3"/>
        <v>561.1864449893982</v>
      </c>
      <c r="K48" s="20">
        <f t="shared" si="4"/>
        <v>1390.0909214891283</v>
      </c>
      <c r="L48" s="325">
        <v>884.955373864</v>
      </c>
      <c r="M48" s="325">
        <v>588.7807930949999</v>
      </c>
      <c r="N48" s="325">
        <f t="shared" si="5"/>
        <v>1473.736166959</v>
      </c>
      <c r="O48" s="325">
        <f t="shared" si="6"/>
        <v>7.447330136000119</v>
      </c>
      <c r="P48" s="325">
        <f t="shared" si="7"/>
        <v>4.954876905000106</v>
      </c>
      <c r="Q48" s="325">
        <f t="shared" si="8"/>
        <v>12.402207041000224</v>
      </c>
    </row>
    <row r="49" spans="1:17" s="15" customFormat="1" ht="12.75">
      <c r="A49" s="3"/>
      <c r="B49" s="3" t="s">
        <v>19</v>
      </c>
      <c r="C49" s="503">
        <v>31664.7371664</v>
      </c>
      <c r="D49" s="503">
        <v>21067.264646999996</v>
      </c>
      <c r="E49" s="503">
        <f aca="true" t="shared" si="9" ref="E49:J49">SUM(E14:E48)</f>
        <v>52732.001813400006</v>
      </c>
      <c r="F49" s="521">
        <v>2253.08</v>
      </c>
      <c r="G49" s="521">
        <v>1154.93</v>
      </c>
      <c r="H49" s="521">
        <f t="shared" si="9"/>
        <v>3408.0099999999998</v>
      </c>
      <c r="I49" s="522">
        <f t="shared" si="9"/>
        <v>29411.6571664</v>
      </c>
      <c r="J49" s="522">
        <f t="shared" si="9"/>
        <v>19912.334646999996</v>
      </c>
      <c r="K49" s="522">
        <f aca="true" t="shared" si="10" ref="K49:Q49">SUM(K14:K48)</f>
        <v>49323.99181340002</v>
      </c>
      <c r="L49" s="522">
        <v>31322.005493256</v>
      </c>
      <c r="M49" s="522">
        <v>20839.237525755</v>
      </c>
      <c r="N49" s="521">
        <f t="shared" si="10"/>
        <v>52161.24301901099</v>
      </c>
      <c r="O49" s="521">
        <f t="shared" si="10"/>
        <v>342.7316731439996</v>
      </c>
      <c r="P49" s="521">
        <f t="shared" si="10"/>
        <v>228.02712124499928</v>
      </c>
      <c r="Q49" s="521">
        <f t="shared" si="10"/>
        <v>570.758794388999</v>
      </c>
    </row>
    <row r="50" spans="1:17" ht="12.75">
      <c r="A50" s="12"/>
      <c r="B50" s="31"/>
      <c r="C50" s="31"/>
      <c r="D50" s="31"/>
      <c r="E50" s="22"/>
      <c r="F50" s="344"/>
      <c r="G50" s="344"/>
      <c r="H50" s="22"/>
      <c r="I50" s="340"/>
      <c r="J50" s="340"/>
      <c r="K50" s="22"/>
      <c r="L50" s="358"/>
      <c r="M50" s="358"/>
      <c r="N50" s="358"/>
      <c r="O50" s="358"/>
      <c r="P50" s="358"/>
      <c r="Q50" s="358"/>
    </row>
    <row r="51" spans="1:17" ht="14.25" customHeight="1">
      <c r="A51" s="855" t="s">
        <v>756</v>
      </c>
      <c r="B51" s="855"/>
      <c r="C51" s="855"/>
      <c r="D51" s="855"/>
      <c r="E51" s="855"/>
      <c r="F51" s="855"/>
      <c r="G51" s="855"/>
      <c r="H51" s="855"/>
      <c r="I51" s="855"/>
      <c r="J51" s="855"/>
      <c r="K51" s="855"/>
      <c r="L51" s="855"/>
      <c r="M51" s="855"/>
      <c r="N51" s="855"/>
      <c r="O51" s="855"/>
      <c r="P51" s="855"/>
      <c r="Q51" s="855"/>
    </row>
    <row r="52" spans="1:17" ht="15.75" customHeight="1">
      <c r="A52" s="35"/>
      <c r="B52" s="42"/>
      <c r="C52" s="42"/>
      <c r="D52" s="42"/>
      <c r="E52" s="42"/>
      <c r="F52" s="414"/>
      <c r="G52" s="414"/>
      <c r="H52" s="42"/>
      <c r="I52" s="414"/>
      <c r="J52" s="414" t="s">
        <v>11</v>
      </c>
      <c r="K52" s="42"/>
      <c r="L52" s="42" t="s">
        <v>11</v>
      </c>
      <c r="M52" s="42"/>
      <c r="N52" s="42"/>
      <c r="O52" s="42"/>
      <c r="P52" s="42"/>
      <c r="Q52" s="42"/>
    </row>
    <row r="53" spans="1:17" ht="15.75" customHeight="1">
      <c r="A53" s="15" t="s">
        <v>12</v>
      </c>
      <c r="B53" s="15"/>
      <c r="C53" s="748" t="s">
        <v>1021</v>
      </c>
      <c r="D53" s="748"/>
      <c r="E53" s="748"/>
      <c r="F53" s="748"/>
      <c r="G53"/>
      <c r="H53"/>
      <c r="I53"/>
      <c r="J53"/>
      <c r="K53"/>
      <c r="L53"/>
      <c r="M53"/>
      <c r="N53" s="748" t="s">
        <v>1024</v>
      </c>
      <c r="O53" s="748"/>
      <c r="P53" s="748"/>
      <c r="Q53" s="748"/>
    </row>
    <row r="54" spans="1:17" ht="12.75" customHeight="1">
      <c r="A54" s="83"/>
      <c r="B54" s="83"/>
      <c r="C54" s="748" t="s">
        <v>1022</v>
      </c>
      <c r="D54" s="748"/>
      <c r="E54" s="748"/>
      <c r="F54" s="748"/>
      <c r="G54"/>
      <c r="H54"/>
      <c r="I54" s="15"/>
      <c r="J54" s="15"/>
      <c r="K54" s="15"/>
      <c r="L54" s="15"/>
      <c r="M54" s="15"/>
      <c r="N54" s="748" t="s">
        <v>1025</v>
      </c>
      <c r="O54" s="748"/>
      <c r="P54" s="748"/>
      <c r="Q54" s="748"/>
    </row>
    <row r="55" spans="1:17" ht="12.75" customHeight="1">
      <c r="A55" s="83"/>
      <c r="B55" s="83"/>
      <c r="C55" s="735" t="s">
        <v>1023</v>
      </c>
      <c r="D55" s="735"/>
      <c r="E55" s="735"/>
      <c r="F55" s="735"/>
      <c r="G55"/>
      <c r="H55"/>
      <c r="I55" s="83"/>
      <c r="J55" s="83"/>
      <c r="K55" s="83"/>
      <c r="L55" s="83"/>
      <c r="M55" s="83"/>
      <c r="N55" s="735" t="s">
        <v>1023</v>
      </c>
      <c r="O55" s="735"/>
      <c r="P55" s="735"/>
      <c r="Q55" s="735"/>
    </row>
    <row r="56" spans="1:17" ht="12.75">
      <c r="A56" s="15"/>
      <c r="B56" s="15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</sheetData>
  <sheetProtection/>
  <mergeCells count="19">
    <mergeCell ref="L11:N11"/>
    <mergeCell ref="C11:E11"/>
    <mergeCell ref="F11:H11"/>
    <mergeCell ref="A51:Q51"/>
    <mergeCell ref="P1:Q1"/>
    <mergeCell ref="A2:Q2"/>
    <mergeCell ref="A3:Q3"/>
    <mergeCell ref="N10:Q10"/>
    <mergeCell ref="A6:Q6"/>
    <mergeCell ref="A11:A12"/>
    <mergeCell ref="B11:B12"/>
    <mergeCell ref="I11:K11"/>
    <mergeCell ref="O11:Q11"/>
    <mergeCell ref="C53:F53"/>
    <mergeCell ref="N53:Q53"/>
    <mergeCell ref="C54:F54"/>
    <mergeCell ref="N54:Q54"/>
    <mergeCell ref="C55:F55"/>
    <mergeCell ref="N55:Q55"/>
  </mergeCells>
  <printOptions horizontalCentered="1"/>
  <pageMargins left="0.7086614173228347" right="0.7086614173228347" top="0.2362204724409449" bottom="0" header="0.23" footer="0.18"/>
  <pageSetup fitToHeight="1" fitToWidth="1" horizontalDpi="600" verticalDpi="600" orientation="landscape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SheetLayoutView="90" zoomScalePageLayoutView="0" workbookViewId="0" topLeftCell="A43">
      <selection activeCell="C53" sqref="C53:Q56"/>
    </sheetView>
  </sheetViews>
  <sheetFormatPr defaultColWidth="9.140625" defaultRowHeight="12.75"/>
  <cols>
    <col min="1" max="1" width="7.421875" style="16" customWidth="1"/>
    <col min="2" max="2" width="17.140625" style="16" customWidth="1"/>
    <col min="3" max="3" width="8.7109375" style="16" customWidth="1"/>
    <col min="4" max="4" width="8.140625" style="16" customWidth="1"/>
    <col min="5" max="5" width="10.00390625" style="16" customWidth="1"/>
    <col min="6" max="6" width="8.8515625" style="16" customWidth="1"/>
    <col min="7" max="8" width="8.140625" style="16" customWidth="1"/>
    <col min="9" max="9" width="9.28125" style="16" customWidth="1"/>
    <col min="10" max="10" width="10.00390625" style="16" customWidth="1"/>
    <col min="11" max="11" width="8.421875" style="16" customWidth="1"/>
    <col min="12" max="12" width="8.7109375" style="341" customWidth="1"/>
    <col min="13" max="13" width="9.00390625" style="341" customWidth="1"/>
    <col min="14" max="14" width="9.421875" style="341" customWidth="1"/>
    <col min="15" max="15" width="11.28125" style="16" customWidth="1"/>
    <col min="16" max="16" width="11.8515625" style="16" customWidth="1"/>
    <col min="17" max="17" width="9.7109375" style="16" customWidth="1"/>
    <col min="18" max="16384" width="9.140625" style="16" customWidth="1"/>
  </cols>
  <sheetData>
    <row r="1" spans="8:18" ht="15">
      <c r="H1" s="36"/>
      <c r="I1" s="36"/>
      <c r="J1" s="36"/>
      <c r="K1" s="36"/>
      <c r="L1" s="354"/>
      <c r="M1" s="354"/>
      <c r="N1" s="354"/>
      <c r="O1" s="36"/>
      <c r="P1" s="810" t="s">
        <v>91</v>
      </c>
      <c r="Q1" s="810"/>
      <c r="R1" s="805"/>
    </row>
    <row r="2" spans="1:18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05"/>
    </row>
    <row r="3" spans="1:18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805"/>
    </row>
    <row r="4" spans="12:18" ht="10.5" customHeight="1">
      <c r="L4" s="343"/>
      <c r="M4" s="343"/>
      <c r="N4" s="343"/>
      <c r="R4" s="805"/>
    </row>
    <row r="5" spans="1:18" ht="9" customHeight="1">
      <c r="A5" s="25"/>
      <c r="B5" s="25"/>
      <c r="C5" s="25"/>
      <c r="D5" s="25"/>
      <c r="E5" s="24"/>
      <c r="F5" s="24"/>
      <c r="G5" s="24"/>
      <c r="H5" s="24"/>
      <c r="I5" s="24"/>
      <c r="J5" s="24"/>
      <c r="K5" s="24"/>
      <c r="L5" s="410"/>
      <c r="M5" s="410"/>
      <c r="N5" s="411"/>
      <c r="O5" s="25"/>
      <c r="P5" s="24"/>
      <c r="Q5" s="22"/>
      <c r="R5" s="805"/>
    </row>
    <row r="6" spans="2:18" ht="18" customHeight="1">
      <c r="B6" s="109"/>
      <c r="C6" s="109"/>
      <c r="D6" s="734" t="s">
        <v>758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R6" s="805"/>
    </row>
    <row r="7" ht="5.25" customHeight="1">
      <c r="R7" s="805"/>
    </row>
    <row r="8" spans="1:18" ht="12.75">
      <c r="A8" s="36" t="s">
        <v>1005</v>
      </c>
      <c r="B8" s="36"/>
      <c r="C8" s="15"/>
      <c r="Q8" s="33" t="s">
        <v>23</v>
      </c>
      <c r="R8" s="805"/>
    </row>
    <row r="9" spans="1:18" ht="15.75">
      <c r="A9" s="14"/>
      <c r="N9" s="842" t="s">
        <v>822</v>
      </c>
      <c r="O9" s="842"/>
      <c r="P9" s="842"/>
      <c r="Q9" s="842"/>
      <c r="R9" s="805"/>
    </row>
    <row r="10" spans="1:18" ht="36.75" customHeight="1">
      <c r="A10" s="808" t="s">
        <v>2</v>
      </c>
      <c r="B10" s="808" t="s">
        <v>3</v>
      </c>
      <c r="C10" s="709" t="s">
        <v>681</v>
      </c>
      <c r="D10" s="709"/>
      <c r="E10" s="709"/>
      <c r="F10" s="709" t="s">
        <v>682</v>
      </c>
      <c r="G10" s="709"/>
      <c r="H10" s="709"/>
      <c r="I10" s="856" t="s">
        <v>383</v>
      </c>
      <c r="J10" s="857"/>
      <c r="K10" s="858"/>
      <c r="L10" s="862" t="s">
        <v>92</v>
      </c>
      <c r="M10" s="863"/>
      <c r="N10" s="864"/>
      <c r="O10" s="859" t="s">
        <v>827</v>
      </c>
      <c r="P10" s="860"/>
      <c r="Q10" s="861"/>
      <c r="R10" s="805"/>
    </row>
    <row r="11" spans="1:17" ht="39.75" customHeight="1">
      <c r="A11" s="809"/>
      <c r="B11" s="809"/>
      <c r="C11" s="5" t="s">
        <v>114</v>
      </c>
      <c r="D11" s="5" t="s">
        <v>753</v>
      </c>
      <c r="E11" s="39" t="s">
        <v>19</v>
      </c>
      <c r="F11" s="5" t="s">
        <v>114</v>
      </c>
      <c r="G11" s="5" t="s">
        <v>754</v>
      </c>
      <c r="H11" s="39" t="s">
        <v>19</v>
      </c>
      <c r="I11" s="5" t="s">
        <v>114</v>
      </c>
      <c r="J11" s="5" t="s">
        <v>754</v>
      </c>
      <c r="K11" s="39" t="s">
        <v>19</v>
      </c>
      <c r="L11" s="356" t="s">
        <v>114</v>
      </c>
      <c r="M11" s="356" t="s">
        <v>754</v>
      </c>
      <c r="N11" s="412" t="s">
        <v>19</v>
      </c>
      <c r="O11" s="540" t="s">
        <v>237</v>
      </c>
      <c r="P11" s="5" t="s">
        <v>755</v>
      </c>
      <c r="Q11" s="5" t="s">
        <v>115</v>
      </c>
    </row>
    <row r="12" spans="1:17" s="69" customFormat="1" ht="12.75">
      <c r="A12" s="66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66">
        <v>8</v>
      </c>
      <c r="I12" s="66">
        <v>9</v>
      </c>
      <c r="J12" s="66">
        <v>10</v>
      </c>
      <c r="K12" s="66">
        <v>11</v>
      </c>
      <c r="L12" s="413">
        <v>12</v>
      </c>
      <c r="M12" s="413">
        <v>13</v>
      </c>
      <c r="N12" s="413">
        <v>14</v>
      </c>
      <c r="O12" s="66">
        <v>15</v>
      </c>
      <c r="P12" s="66">
        <v>16</v>
      </c>
      <c r="Q12" s="66">
        <v>17</v>
      </c>
    </row>
    <row r="13" spans="1:17" ht="12.75">
      <c r="A13" s="19">
        <v>1</v>
      </c>
      <c r="B13" s="328" t="s">
        <v>870</v>
      </c>
      <c r="C13" s="325">
        <v>1372.4968403999999</v>
      </c>
      <c r="D13" s="325">
        <v>913.7647428</v>
      </c>
      <c r="E13" s="325">
        <f>C13+D13</f>
        <v>2286.2615832</v>
      </c>
      <c r="F13" s="325">
        <v>0</v>
      </c>
      <c r="G13" s="325">
        <v>0</v>
      </c>
      <c r="H13" s="325">
        <f>F13+G13</f>
        <v>0</v>
      </c>
      <c r="I13" s="325">
        <f>C13</f>
        <v>1372.4968403999999</v>
      </c>
      <c r="J13" s="448">
        <f>D13</f>
        <v>913.7647428</v>
      </c>
      <c r="K13" s="20">
        <f>I13+J13</f>
        <v>2286.2615832</v>
      </c>
      <c r="L13" s="325">
        <v>1390.4021908000002</v>
      </c>
      <c r="M13" s="325">
        <v>925.6855556</v>
      </c>
      <c r="N13" s="325">
        <f>L13+M13</f>
        <v>2316.0877464000005</v>
      </c>
      <c r="O13" s="325">
        <f>F13+I13-L13</f>
        <v>-17.905350400000316</v>
      </c>
      <c r="P13" s="325">
        <f>G13+J13-M13</f>
        <v>-11.920812800000022</v>
      </c>
      <c r="Q13" s="325">
        <f>O13+P13</f>
        <v>-29.826163200000337</v>
      </c>
    </row>
    <row r="14" spans="1:17" ht="12.75">
      <c r="A14" s="19">
        <v>2</v>
      </c>
      <c r="B14" s="328" t="s">
        <v>871</v>
      </c>
      <c r="C14" s="325">
        <v>458.550435</v>
      </c>
      <c r="D14" s="325">
        <v>305.28829500000006</v>
      </c>
      <c r="E14" s="325">
        <f aca="true" t="shared" si="0" ref="E14:E47">C14+D14</f>
        <v>763.83873</v>
      </c>
      <c r="F14" s="325">
        <v>0</v>
      </c>
      <c r="G14" s="325">
        <v>0</v>
      </c>
      <c r="H14" s="325">
        <f aca="true" t="shared" si="1" ref="H14:H47">F14+G14</f>
        <v>0</v>
      </c>
      <c r="I14" s="325">
        <f aca="true" t="shared" si="2" ref="I14:I48">C14</f>
        <v>458.550435</v>
      </c>
      <c r="J14" s="448">
        <f aca="true" t="shared" si="3" ref="J14:J48">D14</f>
        <v>305.28829500000006</v>
      </c>
      <c r="K14" s="20">
        <f aca="true" t="shared" si="4" ref="K14:K47">I14+J14</f>
        <v>763.83873</v>
      </c>
      <c r="L14" s="325">
        <v>452.012668919</v>
      </c>
      <c r="M14" s="325">
        <v>300.935658283</v>
      </c>
      <c r="N14" s="325">
        <f aca="true" t="shared" si="5" ref="N14:N47">L14+M14</f>
        <v>752.948327202</v>
      </c>
      <c r="O14" s="325">
        <f aca="true" t="shared" si="6" ref="O14:O47">F14+I14-L14</f>
        <v>6.5377660809999725</v>
      </c>
      <c r="P14" s="325">
        <f aca="true" t="shared" si="7" ref="P14:P47">G14+J14-M14</f>
        <v>4.352636717000053</v>
      </c>
      <c r="Q14" s="325">
        <f aca="true" t="shared" si="8" ref="Q14:Q47">O14+P14</f>
        <v>10.890402798000025</v>
      </c>
    </row>
    <row r="15" spans="1:17" ht="12.75">
      <c r="A15" s="19">
        <v>3</v>
      </c>
      <c r="B15" s="328" t="s">
        <v>872</v>
      </c>
      <c r="C15" s="325">
        <v>853.4752233</v>
      </c>
      <c r="D15" s="325">
        <v>568.2166581</v>
      </c>
      <c r="E15" s="325">
        <f t="shared" si="0"/>
        <v>1421.6918814</v>
      </c>
      <c r="F15" s="325">
        <v>0</v>
      </c>
      <c r="G15" s="325">
        <v>0</v>
      </c>
      <c r="H15" s="325">
        <f t="shared" si="1"/>
        <v>0</v>
      </c>
      <c r="I15" s="325">
        <f t="shared" si="2"/>
        <v>853.4752233</v>
      </c>
      <c r="J15" s="448">
        <f t="shared" si="3"/>
        <v>568.2166581</v>
      </c>
      <c r="K15" s="20">
        <f t="shared" si="4"/>
        <v>1421.6918814</v>
      </c>
      <c r="L15" s="325">
        <v>841.526694162</v>
      </c>
      <c r="M15" s="325">
        <v>560.261707434</v>
      </c>
      <c r="N15" s="325">
        <f t="shared" si="5"/>
        <v>1401.7884015959999</v>
      </c>
      <c r="O15" s="325">
        <f t="shared" si="6"/>
        <v>11.948529138000026</v>
      </c>
      <c r="P15" s="325">
        <f t="shared" si="7"/>
        <v>7.954950666000059</v>
      </c>
      <c r="Q15" s="325">
        <f t="shared" si="8"/>
        <v>19.903479804000085</v>
      </c>
    </row>
    <row r="16" spans="1:17" ht="12.75">
      <c r="A16" s="19">
        <v>4</v>
      </c>
      <c r="B16" s="328" t="s">
        <v>873</v>
      </c>
      <c r="C16" s="325">
        <v>1296.5755488</v>
      </c>
      <c r="D16" s="325">
        <v>863.2187616000001</v>
      </c>
      <c r="E16" s="325">
        <f t="shared" si="0"/>
        <v>2159.7943104</v>
      </c>
      <c r="F16" s="325">
        <v>0</v>
      </c>
      <c r="G16" s="325">
        <v>0</v>
      </c>
      <c r="H16" s="325">
        <f t="shared" si="1"/>
        <v>0</v>
      </c>
      <c r="I16" s="325">
        <f t="shared" si="2"/>
        <v>1296.5755488</v>
      </c>
      <c r="J16" s="448">
        <f t="shared" si="3"/>
        <v>863.2187616000001</v>
      </c>
      <c r="K16" s="20">
        <f t="shared" si="4"/>
        <v>2159.7943104</v>
      </c>
      <c r="L16" s="325">
        <v>1286.6215939429999</v>
      </c>
      <c r="M16" s="325">
        <v>856.591735051</v>
      </c>
      <c r="N16" s="325">
        <f t="shared" si="5"/>
        <v>2143.2133289939998</v>
      </c>
      <c r="O16" s="325">
        <f t="shared" si="6"/>
        <v>9.953954857000099</v>
      </c>
      <c r="P16" s="325">
        <f t="shared" si="7"/>
        <v>6.627026549000107</v>
      </c>
      <c r="Q16" s="325">
        <f t="shared" si="8"/>
        <v>16.580981406000205</v>
      </c>
    </row>
    <row r="17" spans="1:17" ht="12.75">
      <c r="A17" s="19">
        <v>5</v>
      </c>
      <c r="B17" s="328" t="s">
        <v>874</v>
      </c>
      <c r="C17" s="325">
        <v>943.4561906</v>
      </c>
      <c r="D17" s="325">
        <v>628.1231242</v>
      </c>
      <c r="E17" s="325">
        <f t="shared" si="0"/>
        <v>1571.5793148</v>
      </c>
      <c r="F17" s="325">
        <v>0</v>
      </c>
      <c r="G17" s="325">
        <v>0</v>
      </c>
      <c r="H17" s="325">
        <f t="shared" si="1"/>
        <v>0</v>
      </c>
      <c r="I17" s="325">
        <f t="shared" si="2"/>
        <v>943.4561906</v>
      </c>
      <c r="J17" s="448">
        <f t="shared" si="3"/>
        <v>628.1231242</v>
      </c>
      <c r="K17" s="20">
        <f t="shared" si="4"/>
        <v>1571.5793148</v>
      </c>
      <c r="L17" s="325">
        <v>946.0434703999999</v>
      </c>
      <c r="M17" s="325">
        <v>629.8456528</v>
      </c>
      <c r="N17" s="325">
        <f t="shared" si="5"/>
        <v>1575.8891232</v>
      </c>
      <c r="O17" s="325">
        <f t="shared" si="6"/>
        <v>-2.5872797999999193</v>
      </c>
      <c r="P17" s="325">
        <f t="shared" si="7"/>
        <v>-1.7225286000000324</v>
      </c>
      <c r="Q17" s="325">
        <f t="shared" si="8"/>
        <v>-4.309808399999952</v>
      </c>
    </row>
    <row r="18" spans="1:17" ht="12.75">
      <c r="A18" s="19">
        <v>6</v>
      </c>
      <c r="B18" s="328" t="s">
        <v>875</v>
      </c>
      <c r="C18" s="325">
        <v>359.36187839999997</v>
      </c>
      <c r="D18" s="325">
        <v>239.25170880000002</v>
      </c>
      <c r="E18" s="325">
        <f t="shared" si="0"/>
        <v>598.6135872</v>
      </c>
      <c r="F18" s="325">
        <v>0</v>
      </c>
      <c r="G18" s="325">
        <v>0</v>
      </c>
      <c r="H18" s="325">
        <f t="shared" si="1"/>
        <v>0</v>
      </c>
      <c r="I18" s="325">
        <f t="shared" si="2"/>
        <v>359.36187839999997</v>
      </c>
      <c r="J18" s="448">
        <f t="shared" si="3"/>
        <v>239.25170880000002</v>
      </c>
      <c r="K18" s="20">
        <f t="shared" si="4"/>
        <v>598.6135872</v>
      </c>
      <c r="L18" s="325">
        <v>361.8305495</v>
      </c>
      <c r="M18" s="325">
        <v>240.89527150000004</v>
      </c>
      <c r="N18" s="325">
        <f t="shared" si="5"/>
        <v>602.725821</v>
      </c>
      <c r="O18" s="325">
        <f t="shared" si="6"/>
        <v>-2.4686711000000514</v>
      </c>
      <c r="P18" s="325">
        <f t="shared" si="7"/>
        <v>-1.6435627000000181</v>
      </c>
      <c r="Q18" s="325">
        <f t="shared" si="8"/>
        <v>-4.1122338000000696</v>
      </c>
    </row>
    <row r="19" spans="1:17" ht="12.75">
      <c r="A19" s="19">
        <v>7</v>
      </c>
      <c r="B19" s="328" t="s">
        <v>876</v>
      </c>
      <c r="C19" s="325">
        <v>827.4827778</v>
      </c>
      <c r="D19" s="325">
        <v>550.9117146</v>
      </c>
      <c r="E19" s="325">
        <f t="shared" si="0"/>
        <v>1378.3944924</v>
      </c>
      <c r="F19" s="325">
        <v>0</v>
      </c>
      <c r="G19" s="325">
        <v>0</v>
      </c>
      <c r="H19" s="325">
        <f t="shared" si="1"/>
        <v>0</v>
      </c>
      <c r="I19" s="325">
        <f t="shared" si="2"/>
        <v>827.4827778</v>
      </c>
      <c r="J19" s="448">
        <f t="shared" si="3"/>
        <v>550.9117146</v>
      </c>
      <c r="K19" s="20">
        <f t="shared" si="4"/>
        <v>1378.3944924</v>
      </c>
      <c r="L19" s="325">
        <v>823.3547646799999</v>
      </c>
      <c r="M19" s="325">
        <v>548.16341476</v>
      </c>
      <c r="N19" s="325">
        <f t="shared" si="5"/>
        <v>1371.51817944</v>
      </c>
      <c r="O19" s="325">
        <f t="shared" si="6"/>
        <v>4.128013120000105</v>
      </c>
      <c r="P19" s="325">
        <f t="shared" si="7"/>
        <v>2.7482998399999587</v>
      </c>
      <c r="Q19" s="325">
        <f t="shared" si="8"/>
        <v>6.876312960000064</v>
      </c>
    </row>
    <row r="20" spans="1:17" ht="12.75">
      <c r="A20" s="19">
        <v>8</v>
      </c>
      <c r="B20" s="328" t="s">
        <v>877</v>
      </c>
      <c r="C20" s="325">
        <v>509.4748596</v>
      </c>
      <c r="D20" s="325">
        <v>339.19215720000005</v>
      </c>
      <c r="E20" s="325">
        <f t="shared" si="0"/>
        <v>848.6670168</v>
      </c>
      <c r="F20" s="325">
        <v>0</v>
      </c>
      <c r="G20" s="325">
        <v>0</v>
      </c>
      <c r="H20" s="325">
        <f t="shared" si="1"/>
        <v>0</v>
      </c>
      <c r="I20" s="325">
        <f t="shared" si="2"/>
        <v>509.4748596</v>
      </c>
      <c r="J20" s="448">
        <f t="shared" si="3"/>
        <v>339.19215720000005</v>
      </c>
      <c r="K20" s="20">
        <f t="shared" si="4"/>
        <v>848.6670168</v>
      </c>
      <c r="L20" s="325">
        <v>507.86999818799995</v>
      </c>
      <c r="M20" s="325">
        <v>338.123691516</v>
      </c>
      <c r="N20" s="325">
        <f t="shared" si="5"/>
        <v>845.993689704</v>
      </c>
      <c r="O20" s="325">
        <f t="shared" si="6"/>
        <v>1.604861412000048</v>
      </c>
      <c r="P20" s="325">
        <f t="shared" si="7"/>
        <v>1.0684656840000457</v>
      </c>
      <c r="Q20" s="325">
        <f t="shared" si="8"/>
        <v>2.6733270960000937</v>
      </c>
    </row>
    <row r="21" spans="1:17" ht="12.75">
      <c r="A21" s="19">
        <v>9</v>
      </c>
      <c r="B21" s="328" t="s">
        <v>878</v>
      </c>
      <c r="C21" s="325">
        <v>639.8758688</v>
      </c>
      <c r="D21" s="325">
        <v>426.00900160000003</v>
      </c>
      <c r="E21" s="325">
        <f t="shared" si="0"/>
        <v>1065.8848704000002</v>
      </c>
      <c r="F21" s="325">
        <v>0</v>
      </c>
      <c r="G21" s="325">
        <v>0</v>
      </c>
      <c r="H21" s="325">
        <f t="shared" si="1"/>
        <v>0</v>
      </c>
      <c r="I21" s="325">
        <f t="shared" si="2"/>
        <v>639.8758688</v>
      </c>
      <c r="J21" s="448">
        <f t="shared" si="3"/>
        <v>426.00900160000003</v>
      </c>
      <c r="K21" s="20">
        <f t="shared" si="4"/>
        <v>1065.8848704000002</v>
      </c>
      <c r="L21" s="325">
        <v>668.9143356000001</v>
      </c>
      <c r="M21" s="325">
        <v>445.3418892</v>
      </c>
      <c r="N21" s="325">
        <f t="shared" si="5"/>
        <v>1114.2562248000002</v>
      </c>
      <c r="O21" s="325">
        <f t="shared" si="6"/>
        <v>-29.038466800000037</v>
      </c>
      <c r="P21" s="325">
        <f t="shared" si="7"/>
        <v>-19.332887599999992</v>
      </c>
      <c r="Q21" s="325">
        <f t="shared" si="8"/>
        <v>-48.37135440000003</v>
      </c>
    </row>
    <row r="22" spans="1:17" ht="12.75">
      <c r="A22" s="19">
        <v>10</v>
      </c>
      <c r="B22" s="328" t="s">
        <v>879</v>
      </c>
      <c r="C22" s="325">
        <v>261.046359</v>
      </c>
      <c r="D22" s="325">
        <v>173.796363</v>
      </c>
      <c r="E22" s="325">
        <f t="shared" si="0"/>
        <v>434.842722</v>
      </c>
      <c r="F22" s="325">
        <v>0</v>
      </c>
      <c r="G22" s="325">
        <v>0</v>
      </c>
      <c r="H22" s="325">
        <f t="shared" si="1"/>
        <v>0</v>
      </c>
      <c r="I22" s="325">
        <f t="shared" si="2"/>
        <v>261.046359</v>
      </c>
      <c r="J22" s="448">
        <f t="shared" si="3"/>
        <v>173.796363</v>
      </c>
      <c r="K22" s="20">
        <f t="shared" si="4"/>
        <v>434.842722</v>
      </c>
      <c r="L22" s="325">
        <v>260.11644193499995</v>
      </c>
      <c r="M22" s="325">
        <v>173.177253795</v>
      </c>
      <c r="N22" s="325">
        <f t="shared" si="5"/>
        <v>433.29369572999997</v>
      </c>
      <c r="O22" s="325">
        <f t="shared" si="6"/>
        <v>0.9299170650000406</v>
      </c>
      <c r="P22" s="325">
        <f t="shared" si="7"/>
        <v>0.6191092050000009</v>
      </c>
      <c r="Q22" s="325">
        <f t="shared" si="8"/>
        <v>1.5490262700000414</v>
      </c>
    </row>
    <row r="23" spans="1:17" ht="12.75">
      <c r="A23" s="19">
        <v>11</v>
      </c>
      <c r="B23" s="328" t="s">
        <v>880</v>
      </c>
      <c r="C23" s="325">
        <v>367.8945816</v>
      </c>
      <c r="D23" s="325">
        <v>244.93251120000002</v>
      </c>
      <c r="E23" s="325">
        <f t="shared" si="0"/>
        <v>612.8270928</v>
      </c>
      <c r="F23" s="325">
        <v>0</v>
      </c>
      <c r="G23" s="325">
        <v>0</v>
      </c>
      <c r="H23" s="325">
        <f t="shared" si="1"/>
        <v>0</v>
      </c>
      <c r="I23" s="325">
        <f t="shared" si="2"/>
        <v>367.8945816</v>
      </c>
      <c r="J23" s="448">
        <f t="shared" si="3"/>
        <v>244.93251120000002</v>
      </c>
      <c r="K23" s="20">
        <f t="shared" si="4"/>
        <v>612.8270928</v>
      </c>
      <c r="L23" s="325">
        <v>367.19013162300007</v>
      </c>
      <c r="M23" s="325">
        <v>244.46351081100005</v>
      </c>
      <c r="N23" s="325">
        <f t="shared" si="5"/>
        <v>611.6536424340002</v>
      </c>
      <c r="O23" s="325">
        <f t="shared" si="6"/>
        <v>0.7044499769999106</v>
      </c>
      <c r="P23" s="325">
        <f t="shared" si="7"/>
        <v>0.469000388999973</v>
      </c>
      <c r="Q23" s="325">
        <f t="shared" si="8"/>
        <v>1.1734503659998836</v>
      </c>
    </row>
    <row r="24" spans="1:17" ht="12.75">
      <c r="A24" s="19">
        <v>12</v>
      </c>
      <c r="B24" s="328" t="s">
        <v>881</v>
      </c>
      <c r="C24" s="325">
        <v>316.2371352</v>
      </c>
      <c r="D24" s="325">
        <v>210.5406264</v>
      </c>
      <c r="E24" s="325">
        <f t="shared" si="0"/>
        <v>526.7777616000001</v>
      </c>
      <c r="F24" s="325">
        <v>0</v>
      </c>
      <c r="G24" s="325">
        <v>0</v>
      </c>
      <c r="H24" s="325">
        <f t="shared" si="1"/>
        <v>0</v>
      </c>
      <c r="I24" s="325">
        <f t="shared" si="2"/>
        <v>316.2371352</v>
      </c>
      <c r="J24" s="448">
        <f t="shared" si="3"/>
        <v>210.5406264</v>
      </c>
      <c r="K24" s="20">
        <f t="shared" si="4"/>
        <v>526.7777616000001</v>
      </c>
      <c r="L24" s="325">
        <v>323.1263455</v>
      </c>
      <c r="M24" s="325">
        <v>215.12724350000002</v>
      </c>
      <c r="N24" s="325">
        <f t="shared" si="5"/>
        <v>538.253589</v>
      </c>
      <c r="O24" s="325">
        <f t="shared" si="6"/>
        <v>-6.889210300000002</v>
      </c>
      <c r="P24" s="325">
        <f t="shared" si="7"/>
        <v>-4.586617100000012</v>
      </c>
      <c r="Q24" s="325">
        <f t="shared" si="8"/>
        <v>-11.475827400000014</v>
      </c>
    </row>
    <row r="25" spans="1:17" ht="12.75">
      <c r="A25" s="19">
        <v>13</v>
      </c>
      <c r="B25" s="328" t="s">
        <v>882</v>
      </c>
      <c r="C25" s="325">
        <v>1182.23602</v>
      </c>
      <c r="D25" s="325">
        <v>787.09514</v>
      </c>
      <c r="E25" s="325">
        <f t="shared" si="0"/>
        <v>1969.3311600000002</v>
      </c>
      <c r="F25" s="325">
        <v>0</v>
      </c>
      <c r="G25" s="325">
        <v>0</v>
      </c>
      <c r="H25" s="325">
        <f t="shared" si="1"/>
        <v>0</v>
      </c>
      <c r="I25" s="325">
        <f t="shared" si="2"/>
        <v>1182.23602</v>
      </c>
      <c r="J25" s="448">
        <f t="shared" si="3"/>
        <v>787.09514</v>
      </c>
      <c r="K25" s="20">
        <f t="shared" si="4"/>
        <v>1969.3311600000002</v>
      </c>
      <c r="L25" s="325">
        <v>1180.23970981</v>
      </c>
      <c r="M25" s="325">
        <v>785.7660601700001</v>
      </c>
      <c r="N25" s="325">
        <f t="shared" si="5"/>
        <v>1966.00576998</v>
      </c>
      <c r="O25" s="325">
        <f t="shared" si="6"/>
        <v>1.996310190000031</v>
      </c>
      <c r="P25" s="325">
        <f t="shared" si="7"/>
        <v>1.329079829999955</v>
      </c>
      <c r="Q25" s="325">
        <f t="shared" si="8"/>
        <v>3.325390019999986</v>
      </c>
    </row>
    <row r="26" spans="1:17" ht="12.75">
      <c r="A26" s="19">
        <v>14</v>
      </c>
      <c r="B26" s="328" t="s">
        <v>883</v>
      </c>
      <c r="C26" s="325">
        <v>646.088709</v>
      </c>
      <c r="D26" s="325">
        <v>430.14531300000004</v>
      </c>
      <c r="E26" s="325">
        <f t="shared" si="0"/>
        <v>1076.234022</v>
      </c>
      <c r="F26" s="325">
        <v>0</v>
      </c>
      <c r="G26" s="325">
        <v>0</v>
      </c>
      <c r="H26" s="325">
        <f t="shared" si="1"/>
        <v>0</v>
      </c>
      <c r="I26" s="325">
        <f t="shared" si="2"/>
        <v>646.088709</v>
      </c>
      <c r="J26" s="448">
        <f t="shared" si="3"/>
        <v>430.14531300000004</v>
      </c>
      <c r="K26" s="20">
        <f t="shared" si="4"/>
        <v>1076.234022</v>
      </c>
      <c r="L26" s="325">
        <v>636.96755157</v>
      </c>
      <c r="M26" s="325">
        <v>424.07273649</v>
      </c>
      <c r="N26" s="325">
        <f t="shared" si="5"/>
        <v>1061.04028806</v>
      </c>
      <c r="O26" s="325">
        <f t="shared" si="6"/>
        <v>9.12115743000004</v>
      </c>
      <c r="P26" s="325">
        <f t="shared" si="7"/>
        <v>6.072576510000033</v>
      </c>
      <c r="Q26" s="325">
        <f t="shared" si="8"/>
        <v>15.193733940000072</v>
      </c>
    </row>
    <row r="27" spans="1:17" ht="12.75">
      <c r="A27" s="19">
        <v>15</v>
      </c>
      <c r="B27" s="328" t="s">
        <v>884</v>
      </c>
      <c r="C27" s="325">
        <v>1170.1416426</v>
      </c>
      <c r="D27" s="325">
        <v>779.0430882</v>
      </c>
      <c r="E27" s="325">
        <f t="shared" si="0"/>
        <v>1949.1847308000001</v>
      </c>
      <c r="F27" s="325">
        <v>0</v>
      </c>
      <c r="G27" s="325">
        <v>0</v>
      </c>
      <c r="H27" s="325">
        <f t="shared" si="1"/>
        <v>0</v>
      </c>
      <c r="I27" s="325">
        <f t="shared" si="2"/>
        <v>1170.1416426</v>
      </c>
      <c r="J27" s="448">
        <f t="shared" si="3"/>
        <v>779.0430882</v>
      </c>
      <c r="K27" s="20">
        <f t="shared" si="4"/>
        <v>1949.1847308000001</v>
      </c>
      <c r="L27" s="325">
        <v>1161.28024082</v>
      </c>
      <c r="M27" s="325">
        <v>773.1434487399999</v>
      </c>
      <c r="N27" s="325">
        <f t="shared" si="5"/>
        <v>1934.42368956</v>
      </c>
      <c r="O27" s="325">
        <f t="shared" si="6"/>
        <v>8.861401780000051</v>
      </c>
      <c r="P27" s="325">
        <f t="shared" si="7"/>
        <v>5.899639460000117</v>
      </c>
      <c r="Q27" s="325">
        <f t="shared" si="8"/>
        <v>14.761041240000168</v>
      </c>
    </row>
    <row r="28" spans="1:17" ht="12.75">
      <c r="A28" s="19">
        <v>16</v>
      </c>
      <c r="B28" s="328" t="s">
        <v>885</v>
      </c>
      <c r="C28" s="325">
        <v>810.9609606</v>
      </c>
      <c r="D28" s="325">
        <v>539.9120142</v>
      </c>
      <c r="E28" s="325">
        <f t="shared" si="0"/>
        <v>1350.8729748</v>
      </c>
      <c r="F28" s="325">
        <v>0</v>
      </c>
      <c r="G28" s="325">
        <v>0</v>
      </c>
      <c r="H28" s="325">
        <f t="shared" si="1"/>
        <v>0</v>
      </c>
      <c r="I28" s="325">
        <f t="shared" si="2"/>
        <v>810.9609606</v>
      </c>
      <c r="J28" s="448">
        <f t="shared" si="3"/>
        <v>539.9120142</v>
      </c>
      <c r="K28" s="20">
        <f t="shared" si="4"/>
        <v>1350.8729748</v>
      </c>
      <c r="L28" s="325">
        <v>808.1575339740001</v>
      </c>
      <c r="M28" s="325">
        <v>538.045581918</v>
      </c>
      <c r="N28" s="325">
        <f t="shared" si="5"/>
        <v>1346.2031158920001</v>
      </c>
      <c r="O28" s="325">
        <f t="shared" si="6"/>
        <v>2.8034266259999185</v>
      </c>
      <c r="P28" s="325">
        <f t="shared" si="7"/>
        <v>1.8664322820000052</v>
      </c>
      <c r="Q28" s="325">
        <f t="shared" si="8"/>
        <v>4.669858907999924</v>
      </c>
    </row>
    <row r="29" spans="1:17" ht="12.75">
      <c r="A29" s="19">
        <v>17</v>
      </c>
      <c r="B29" s="328" t="s">
        <v>886</v>
      </c>
      <c r="C29" s="325">
        <v>2259.0908256000002</v>
      </c>
      <c r="D29" s="325">
        <v>1504.0308192000002</v>
      </c>
      <c r="E29" s="325">
        <f t="shared" si="0"/>
        <v>3763.1216448000005</v>
      </c>
      <c r="F29" s="325">
        <v>0</v>
      </c>
      <c r="G29" s="325">
        <v>0</v>
      </c>
      <c r="H29" s="325">
        <f t="shared" si="1"/>
        <v>0</v>
      </c>
      <c r="I29" s="325">
        <f t="shared" si="2"/>
        <v>2259.0908256000002</v>
      </c>
      <c r="J29" s="448">
        <f t="shared" si="3"/>
        <v>1504.0308192000002</v>
      </c>
      <c r="K29" s="20">
        <f t="shared" si="4"/>
        <v>3763.1216448000005</v>
      </c>
      <c r="L29" s="325">
        <v>2203.325584838</v>
      </c>
      <c r="M29" s="325">
        <v>1466.904095566</v>
      </c>
      <c r="N29" s="325">
        <f t="shared" si="5"/>
        <v>3670.2296804039997</v>
      </c>
      <c r="O29" s="325">
        <f t="shared" si="6"/>
        <v>55.7652407620003</v>
      </c>
      <c r="P29" s="325">
        <f t="shared" si="7"/>
        <v>37.1267236340002</v>
      </c>
      <c r="Q29" s="325">
        <f t="shared" si="8"/>
        <v>92.8919643960005</v>
      </c>
    </row>
    <row r="30" spans="1:17" ht="12.75">
      <c r="A30" s="19">
        <v>18</v>
      </c>
      <c r="B30" s="328" t="s">
        <v>887</v>
      </c>
      <c r="C30" s="325">
        <v>1110.4621373999998</v>
      </c>
      <c r="D30" s="325">
        <v>739.3103718000001</v>
      </c>
      <c r="E30" s="325">
        <f t="shared" si="0"/>
        <v>1849.7725092</v>
      </c>
      <c r="F30" s="325">
        <v>0</v>
      </c>
      <c r="G30" s="325">
        <v>0</v>
      </c>
      <c r="H30" s="325">
        <f t="shared" si="1"/>
        <v>0</v>
      </c>
      <c r="I30" s="325">
        <f t="shared" si="2"/>
        <v>1110.4621373999998</v>
      </c>
      <c r="J30" s="448">
        <f t="shared" si="3"/>
        <v>739.3103718000001</v>
      </c>
      <c r="K30" s="20">
        <f t="shared" si="4"/>
        <v>1849.7725092</v>
      </c>
      <c r="L30" s="325">
        <v>1131.5076689</v>
      </c>
      <c r="M30" s="325">
        <v>753.3218173</v>
      </c>
      <c r="N30" s="325">
        <f t="shared" si="5"/>
        <v>1884.8294862</v>
      </c>
      <c r="O30" s="325">
        <f t="shared" si="6"/>
        <v>-21.045531500000152</v>
      </c>
      <c r="P30" s="325">
        <f t="shared" si="7"/>
        <v>-14.011445499999923</v>
      </c>
      <c r="Q30" s="325">
        <f t="shared" si="8"/>
        <v>-35.056977000000074</v>
      </c>
    </row>
    <row r="31" spans="1:17" ht="12.75">
      <c r="A31" s="19">
        <v>19</v>
      </c>
      <c r="B31" s="328" t="s">
        <v>888</v>
      </c>
      <c r="C31" s="325">
        <v>993.985797</v>
      </c>
      <c r="D31" s="325">
        <v>661.764129</v>
      </c>
      <c r="E31" s="325">
        <f t="shared" si="0"/>
        <v>1655.749926</v>
      </c>
      <c r="F31" s="325">
        <v>0</v>
      </c>
      <c r="G31" s="325">
        <v>0</v>
      </c>
      <c r="H31" s="325">
        <f t="shared" si="1"/>
        <v>0</v>
      </c>
      <c r="I31" s="325">
        <f t="shared" si="2"/>
        <v>993.985797</v>
      </c>
      <c r="J31" s="448">
        <f t="shared" si="3"/>
        <v>661.764129</v>
      </c>
      <c r="K31" s="20">
        <f t="shared" si="4"/>
        <v>1655.749926</v>
      </c>
      <c r="L31" s="325">
        <v>980.3141939779999</v>
      </c>
      <c r="M31" s="325">
        <v>652.662010546</v>
      </c>
      <c r="N31" s="325">
        <f t="shared" si="5"/>
        <v>1632.976204524</v>
      </c>
      <c r="O31" s="325">
        <f t="shared" si="6"/>
        <v>13.671603022000113</v>
      </c>
      <c r="P31" s="325">
        <f t="shared" si="7"/>
        <v>9.102118453999992</v>
      </c>
      <c r="Q31" s="325">
        <f t="shared" si="8"/>
        <v>22.773721476000105</v>
      </c>
    </row>
    <row r="32" spans="1:17" ht="12.75">
      <c r="A32" s="19">
        <v>20</v>
      </c>
      <c r="B32" s="328" t="s">
        <v>889</v>
      </c>
      <c r="C32" s="325">
        <v>413.77845179999997</v>
      </c>
      <c r="D32" s="325">
        <v>275.4805326</v>
      </c>
      <c r="E32" s="325">
        <f t="shared" si="0"/>
        <v>689.2589843999999</v>
      </c>
      <c r="F32" s="325">
        <v>0</v>
      </c>
      <c r="G32" s="325">
        <v>0</v>
      </c>
      <c r="H32" s="325">
        <f t="shared" si="1"/>
        <v>0</v>
      </c>
      <c r="I32" s="325">
        <f t="shared" si="2"/>
        <v>413.77845179999997</v>
      </c>
      <c r="J32" s="448">
        <f t="shared" si="3"/>
        <v>275.4805326</v>
      </c>
      <c r="K32" s="20">
        <f t="shared" si="4"/>
        <v>689.2589843999999</v>
      </c>
      <c r="L32" s="325">
        <v>413.74311034000004</v>
      </c>
      <c r="M32" s="325">
        <v>275.45700338000006</v>
      </c>
      <c r="N32" s="325">
        <f t="shared" si="5"/>
        <v>689.2001137200001</v>
      </c>
      <c r="O32" s="325">
        <f t="shared" si="6"/>
        <v>0.03534145999992688</v>
      </c>
      <c r="P32" s="325">
        <f t="shared" si="7"/>
        <v>0.023529219999943507</v>
      </c>
      <c r="Q32" s="325">
        <f t="shared" si="8"/>
        <v>0.05887067999987039</v>
      </c>
    </row>
    <row r="33" spans="1:17" ht="12.75">
      <c r="A33" s="19">
        <v>21</v>
      </c>
      <c r="B33" s="328" t="s">
        <v>890</v>
      </c>
      <c r="C33" s="325">
        <v>1735.5485363999999</v>
      </c>
      <c r="D33" s="325">
        <v>1155.4730148</v>
      </c>
      <c r="E33" s="325">
        <f t="shared" si="0"/>
        <v>2891.0215512</v>
      </c>
      <c r="F33" s="325">
        <v>0</v>
      </c>
      <c r="G33" s="325">
        <v>0</v>
      </c>
      <c r="H33" s="325">
        <f t="shared" si="1"/>
        <v>0</v>
      </c>
      <c r="I33" s="325">
        <f t="shared" si="2"/>
        <v>1735.5485363999999</v>
      </c>
      <c r="J33" s="448">
        <f t="shared" si="3"/>
        <v>1155.4730148</v>
      </c>
      <c r="K33" s="20">
        <f t="shared" si="4"/>
        <v>2891.0215512</v>
      </c>
      <c r="L33" s="325">
        <v>1723.761171888</v>
      </c>
      <c r="M33" s="325">
        <v>1147.6253624160001</v>
      </c>
      <c r="N33" s="325">
        <f t="shared" si="5"/>
        <v>2871.386534304</v>
      </c>
      <c r="O33" s="325">
        <f t="shared" si="6"/>
        <v>11.78736451199984</v>
      </c>
      <c r="P33" s="325">
        <f t="shared" si="7"/>
        <v>7.847652383999957</v>
      </c>
      <c r="Q33" s="325">
        <f t="shared" si="8"/>
        <v>19.635016895999797</v>
      </c>
    </row>
    <row r="34" spans="1:17" ht="12.75">
      <c r="A34" s="19">
        <v>22</v>
      </c>
      <c r="B34" s="328" t="s">
        <v>891</v>
      </c>
      <c r="C34" s="325">
        <v>531.6055289999999</v>
      </c>
      <c r="D34" s="325">
        <v>353.926053</v>
      </c>
      <c r="E34" s="325">
        <f t="shared" si="0"/>
        <v>885.531582</v>
      </c>
      <c r="F34" s="325">
        <v>0</v>
      </c>
      <c r="G34" s="325">
        <v>0</v>
      </c>
      <c r="H34" s="325">
        <f t="shared" si="1"/>
        <v>0</v>
      </c>
      <c r="I34" s="325">
        <f t="shared" si="2"/>
        <v>531.6055289999999</v>
      </c>
      <c r="J34" s="448">
        <f t="shared" si="3"/>
        <v>353.926053</v>
      </c>
      <c r="K34" s="20">
        <f t="shared" si="4"/>
        <v>885.531582</v>
      </c>
      <c r="L34" s="325">
        <v>528.326265936</v>
      </c>
      <c r="M34" s="325">
        <v>351.7428239520001</v>
      </c>
      <c r="N34" s="325">
        <f t="shared" si="5"/>
        <v>880.0690898880001</v>
      </c>
      <c r="O34" s="325">
        <f t="shared" si="6"/>
        <v>3.279263063999906</v>
      </c>
      <c r="P34" s="325">
        <f t="shared" si="7"/>
        <v>2.18322904799993</v>
      </c>
      <c r="Q34" s="325">
        <f t="shared" si="8"/>
        <v>5.462492111999836</v>
      </c>
    </row>
    <row r="35" spans="1:17" ht="12.75">
      <c r="A35" s="19">
        <v>23</v>
      </c>
      <c r="B35" s="328" t="s">
        <v>892</v>
      </c>
      <c r="C35" s="325">
        <v>664.8005392</v>
      </c>
      <c r="D35" s="325">
        <v>442.6030544000001</v>
      </c>
      <c r="E35" s="325">
        <f t="shared" si="0"/>
        <v>1107.4035936</v>
      </c>
      <c r="F35" s="325">
        <v>0</v>
      </c>
      <c r="G35" s="325">
        <v>0</v>
      </c>
      <c r="H35" s="325">
        <f t="shared" si="1"/>
        <v>0</v>
      </c>
      <c r="I35" s="325">
        <f t="shared" si="2"/>
        <v>664.8005392</v>
      </c>
      <c r="J35" s="448">
        <f t="shared" si="3"/>
        <v>442.6030544000001</v>
      </c>
      <c r="K35" s="20">
        <f t="shared" si="4"/>
        <v>1107.4035936</v>
      </c>
      <c r="L35" s="325">
        <v>649.194586698</v>
      </c>
      <c r="M35" s="325">
        <v>432.21310758600004</v>
      </c>
      <c r="N35" s="325">
        <f t="shared" si="5"/>
        <v>1081.407694284</v>
      </c>
      <c r="O35" s="325">
        <f t="shared" si="6"/>
        <v>15.605952502000036</v>
      </c>
      <c r="P35" s="325">
        <f t="shared" si="7"/>
        <v>10.38994681400004</v>
      </c>
      <c r="Q35" s="325">
        <f t="shared" si="8"/>
        <v>25.995899316000077</v>
      </c>
    </row>
    <row r="36" spans="1:17" ht="12.75">
      <c r="A36" s="19">
        <v>24</v>
      </c>
      <c r="B36" s="328" t="s">
        <v>893</v>
      </c>
      <c r="C36" s="325">
        <v>2424.1442736</v>
      </c>
      <c r="D36" s="325">
        <v>1613.9181552</v>
      </c>
      <c r="E36" s="325">
        <f t="shared" si="0"/>
        <v>4038.0624288</v>
      </c>
      <c r="F36" s="325">
        <v>0</v>
      </c>
      <c r="G36" s="325">
        <v>0</v>
      </c>
      <c r="H36" s="325">
        <f t="shared" si="1"/>
        <v>0</v>
      </c>
      <c r="I36" s="325">
        <f t="shared" si="2"/>
        <v>2424.1442736</v>
      </c>
      <c r="J36" s="448">
        <f t="shared" si="3"/>
        <v>1613.9181552</v>
      </c>
      <c r="K36" s="20">
        <f t="shared" si="4"/>
        <v>4038.0624288</v>
      </c>
      <c r="L36" s="325">
        <v>2398.219941474</v>
      </c>
      <c r="M36" s="325">
        <v>1596.658559418</v>
      </c>
      <c r="N36" s="325">
        <f t="shared" si="5"/>
        <v>3994.878500892</v>
      </c>
      <c r="O36" s="325">
        <f t="shared" si="6"/>
        <v>25.92433212600008</v>
      </c>
      <c r="P36" s="325">
        <f t="shared" si="7"/>
        <v>17.259595781999906</v>
      </c>
      <c r="Q36" s="325">
        <f t="shared" si="8"/>
        <v>43.18392790799999</v>
      </c>
    </row>
    <row r="37" spans="1:17" ht="12.75">
      <c r="A37" s="19">
        <v>25</v>
      </c>
      <c r="B37" s="328" t="s">
        <v>894</v>
      </c>
      <c r="C37" s="325">
        <v>538.6804248</v>
      </c>
      <c r="D37" s="325">
        <v>358.6362936</v>
      </c>
      <c r="E37" s="325">
        <f t="shared" si="0"/>
        <v>897.3167183999999</v>
      </c>
      <c r="F37" s="325">
        <v>0</v>
      </c>
      <c r="G37" s="325">
        <v>0</v>
      </c>
      <c r="H37" s="325">
        <f t="shared" si="1"/>
        <v>0</v>
      </c>
      <c r="I37" s="325">
        <f t="shared" si="2"/>
        <v>538.6804248</v>
      </c>
      <c r="J37" s="448">
        <f t="shared" si="3"/>
        <v>358.6362936</v>
      </c>
      <c r="K37" s="20">
        <f t="shared" si="4"/>
        <v>897.3167183999999</v>
      </c>
      <c r="L37" s="325">
        <v>541.5081497</v>
      </c>
      <c r="M37" s="325">
        <v>360.51890290000006</v>
      </c>
      <c r="N37" s="325">
        <f t="shared" si="5"/>
        <v>902.0270526</v>
      </c>
      <c r="O37" s="325">
        <f t="shared" si="6"/>
        <v>-2.827724900000021</v>
      </c>
      <c r="P37" s="325">
        <f t="shared" si="7"/>
        <v>-1.8826093000000697</v>
      </c>
      <c r="Q37" s="325">
        <f t="shared" si="8"/>
        <v>-4.710334200000091</v>
      </c>
    </row>
    <row r="38" spans="1:17" ht="12.75">
      <c r="A38" s="19">
        <v>26</v>
      </c>
      <c r="B38" s="328" t="s">
        <v>895</v>
      </c>
      <c r="C38" s="325">
        <v>512.4069468</v>
      </c>
      <c r="D38" s="325">
        <v>341.1442476</v>
      </c>
      <c r="E38" s="325">
        <f t="shared" si="0"/>
        <v>853.5511944</v>
      </c>
      <c r="F38" s="325">
        <v>0</v>
      </c>
      <c r="G38" s="325">
        <v>0</v>
      </c>
      <c r="H38" s="325">
        <f t="shared" si="1"/>
        <v>0</v>
      </c>
      <c r="I38" s="325">
        <f t="shared" si="2"/>
        <v>512.4069468</v>
      </c>
      <c r="J38" s="448">
        <f t="shared" si="3"/>
        <v>341.1442476</v>
      </c>
      <c r="K38" s="20">
        <f t="shared" si="4"/>
        <v>853.5511944</v>
      </c>
      <c r="L38" s="325">
        <v>471.6195778</v>
      </c>
      <c r="M38" s="325">
        <v>313.9893146</v>
      </c>
      <c r="N38" s="325">
        <f t="shared" si="5"/>
        <v>785.6088924000001</v>
      </c>
      <c r="O38" s="325">
        <f t="shared" si="6"/>
        <v>40.78736900000001</v>
      </c>
      <c r="P38" s="325">
        <f t="shared" si="7"/>
        <v>27.154933000000028</v>
      </c>
      <c r="Q38" s="325">
        <f t="shared" si="8"/>
        <v>67.94230200000004</v>
      </c>
    </row>
    <row r="39" spans="1:17" ht="12.75">
      <c r="A39" s="19">
        <v>27</v>
      </c>
      <c r="B39" s="328" t="s">
        <v>896</v>
      </c>
      <c r="C39" s="325">
        <v>900.2870387</v>
      </c>
      <c r="D39" s="325">
        <v>599.3824759</v>
      </c>
      <c r="E39" s="325">
        <f t="shared" si="0"/>
        <v>1499.6695146000002</v>
      </c>
      <c r="F39" s="325">
        <v>0</v>
      </c>
      <c r="G39" s="325">
        <v>0</v>
      </c>
      <c r="H39" s="325">
        <f t="shared" si="1"/>
        <v>0</v>
      </c>
      <c r="I39" s="325">
        <f t="shared" si="2"/>
        <v>900.2870387</v>
      </c>
      <c r="J39" s="448">
        <f t="shared" si="3"/>
        <v>599.3824759</v>
      </c>
      <c r="K39" s="20">
        <f t="shared" si="4"/>
        <v>1499.6695146000002</v>
      </c>
      <c r="L39" s="325">
        <v>896.0605866660001</v>
      </c>
      <c r="M39" s="325">
        <v>596.568638562</v>
      </c>
      <c r="N39" s="325">
        <f t="shared" si="5"/>
        <v>1492.629225228</v>
      </c>
      <c r="O39" s="325">
        <f t="shared" si="6"/>
        <v>4.226452033999976</v>
      </c>
      <c r="P39" s="325">
        <f t="shared" si="7"/>
        <v>2.813837337999985</v>
      </c>
      <c r="Q39" s="325">
        <f t="shared" si="8"/>
        <v>7.040289371999961</v>
      </c>
    </row>
    <row r="40" spans="1:17" ht="12.75">
      <c r="A40" s="19">
        <v>28</v>
      </c>
      <c r="B40" s="328" t="s">
        <v>897</v>
      </c>
      <c r="C40" s="325">
        <v>921.6225437999999</v>
      </c>
      <c r="D40" s="325">
        <v>613.5869766000001</v>
      </c>
      <c r="E40" s="325">
        <f t="shared" si="0"/>
        <v>1535.2095204</v>
      </c>
      <c r="F40" s="325">
        <v>0</v>
      </c>
      <c r="G40" s="325">
        <v>0</v>
      </c>
      <c r="H40" s="325">
        <f t="shared" si="1"/>
        <v>0</v>
      </c>
      <c r="I40" s="325">
        <f t="shared" si="2"/>
        <v>921.6225437999999</v>
      </c>
      <c r="J40" s="448">
        <f t="shared" si="3"/>
        <v>613.5869766000001</v>
      </c>
      <c r="K40" s="20">
        <f t="shared" si="4"/>
        <v>1535.2095204</v>
      </c>
      <c r="L40" s="325">
        <v>857.8094308</v>
      </c>
      <c r="M40" s="325">
        <v>571.1022356</v>
      </c>
      <c r="N40" s="325">
        <f t="shared" si="5"/>
        <v>1428.9116663999998</v>
      </c>
      <c r="O40" s="325">
        <f t="shared" si="6"/>
        <v>63.81311299999993</v>
      </c>
      <c r="P40" s="325">
        <f t="shared" si="7"/>
        <v>42.4847410000001</v>
      </c>
      <c r="Q40" s="325">
        <f t="shared" si="8"/>
        <v>106.29785400000003</v>
      </c>
    </row>
    <row r="41" spans="1:17" ht="12.75">
      <c r="A41" s="19">
        <v>29</v>
      </c>
      <c r="B41" s="328" t="s">
        <v>898</v>
      </c>
      <c r="C41" s="325">
        <v>253.01606399999997</v>
      </c>
      <c r="D41" s="325">
        <v>168.450048</v>
      </c>
      <c r="E41" s="325">
        <f t="shared" si="0"/>
        <v>421.46611199999995</v>
      </c>
      <c r="F41" s="325">
        <v>0</v>
      </c>
      <c r="G41" s="325">
        <v>0</v>
      </c>
      <c r="H41" s="325">
        <f t="shared" si="1"/>
        <v>0</v>
      </c>
      <c r="I41" s="325">
        <f t="shared" si="2"/>
        <v>253.01606399999997</v>
      </c>
      <c r="J41" s="448">
        <f t="shared" si="3"/>
        <v>168.450048</v>
      </c>
      <c r="K41" s="20">
        <f t="shared" si="4"/>
        <v>421.46611199999995</v>
      </c>
      <c r="L41" s="325">
        <v>247.946090784</v>
      </c>
      <c r="M41" s="325">
        <v>165.07462108800001</v>
      </c>
      <c r="N41" s="325">
        <f t="shared" si="5"/>
        <v>413.020711872</v>
      </c>
      <c r="O41" s="325">
        <f t="shared" si="6"/>
        <v>5.0699732159999655</v>
      </c>
      <c r="P41" s="325">
        <f t="shared" si="7"/>
        <v>3.3754269119999947</v>
      </c>
      <c r="Q41" s="325">
        <f t="shared" si="8"/>
        <v>8.44540012799996</v>
      </c>
    </row>
    <row r="42" spans="1:17" ht="12.75">
      <c r="A42" s="19">
        <v>30</v>
      </c>
      <c r="B42" s="328" t="s">
        <v>899</v>
      </c>
      <c r="C42" s="325">
        <v>1362.4569126</v>
      </c>
      <c r="D42" s="325">
        <v>907.0804782000001</v>
      </c>
      <c r="E42" s="325">
        <f t="shared" si="0"/>
        <v>2269.5373908</v>
      </c>
      <c r="F42" s="325">
        <v>0</v>
      </c>
      <c r="G42" s="325">
        <v>0</v>
      </c>
      <c r="H42" s="325">
        <f t="shared" si="1"/>
        <v>0</v>
      </c>
      <c r="I42" s="325">
        <f t="shared" si="2"/>
        <v>1362.4569126</v>
      </c>
      <c r="J42" s="448">
        <f t="shared" si="3"/>
        <v>907.0804782000001</v>
      </c>
      <c r="K42" s="20">
        <f t="shared" si="4"/>
        <v>2269.5373908</v>
      </c>
      <c r="L42" s="325">
        <v>1356.257257369</v>
      </c>
      <c r="M42" s="325">
        <v>902.952944933</v>
      </c>
      <c r="N42" s="325">
        <f t="shared" si="5"/>
        <v>2259.2102023019997</v>
      </c>
      <c r="O42" s="325">
        <f t="shared" si="6"/>
        <v>6.1996552309999515</v>
      </c>
      <c r="P42" s="325">
        <f t="shared" si="7"/>
        <v>4.1275332670001035</v>
      </c>
      <c r="Q42" s="325">
        <f t="shared" si="8"/>
        <v>10.327188498000055</v>
      </c>
    </row>
    <row r="43" spans="1:17" ht="12.75">
      <c r="A43" s="19">
        <v>31</v>
      </c>
      <c r="B43" s="328" t="s">
        <v>900</v>
      </c>
      <c r="C43" s="325">
        <v>1354.7712024</v>
      </c>
      <c r="D43" s="325">
        <v>901.9635768</v>
      </c>
      <c r="E43" s="325">
        <f t="shared" si="0"/>
        <v>2256.7347792</v>
      </c>
      <c r="F43" s="325">
        <v>0</v>
      </c>
      <c r="G43" s="325">
        <v>0</v>
      </c>
      <c r="H43" s="325">
        <f t="shared" si="1"/>
        <v>0</v>
      </c>
      <c r="I43" s="325">
        <f t="shared" si="2"/>
        <v>1354.7712024</v>
      </c>
      <c r="J43" s="448">
        <f t="shared" si="3"/>
        <v>901.9635768</v>
      </c>
      <c r="K43" s="20">
        <f t="shared" si="4"/>
        <v>2256.7347792</v>
      </c>
      <c r="L43" s="325">
        <v>1349.3642112999999</v>
      </c>
      <c r="M43" s="325">
        <v>898.3637741000001</v>
      </c>
      <c r="N43" s="325">
        <f t="shared" si="5"/>
        <v>2247.7279854</v>
      </c>
      <c r="O43" s="325">
        <f t="shared" si="6"/>
        <v>5.406991100000141</v>
      </c>
      <c r="P43" s="325">
        <f t="shared" si="7"/>
        <v>3.599802699999941</v>
      </c>
      <c r="Q43" s="325">
        <f t="shared" si="8"/>
        <v>9.006793800000082</v>
      </c>
    </row>
    <row r="44" spans="1:17" ht="12.75">
      <c r="A44" s="19">
        <v>32</v>
      </c>
      <c r="B44" s="328" t="s">
        <v>901</v>
      </c>
      <c r="C44" s="325">
        <v>674.503599</v>
      </c>
      <c r="D44" s="325">
        <v>449.06304300000005</v>
      </c>
      <c r="E44" s="325">
        <f t="shared" si="0"/>
        <v>1123.566642</v>
      </c>
      <c r="F44" s="325">
        <v>0</v>
      </c>
      <c r="G44" s="325">
        <v>0</v>
      </c>
      <c r="H44" s="325">
        <f t="shared" si="1"/>
        <v>0</v>
      </c>
      <c r="I44" s="325">
        <f t="shared" si="2"/>
        <v>674.503599</v>
      </c>
      <c r="J44" s="448">
        <f t="shared" si="3"/>
        <v>449.06304300000005</v>
      </c>
      <c r="K44" s="20">
        <f t="shared" si="4"/>
        <v>1123.566642</v>
      </c>
      <c r="L44" s="325">
        <v>666.451818648</v>
      </c>
      <c r="M44" s="325">
        <v>443.702423736</v>
      </c>
      <c r="N44" s="325">
        <f t="shared" si="5"/>
        <v>1110.154242384</v>
      </c>
      <c r="O44" s="325">
        <f t="shared" si="6"/>
        <v>8.051780352000037</v>
      </c>
      <c r="P44" s="325">
        <f t="shared" si="7"/>
        <v>5.360619264000036</v>
      </c>
      <c r="Q44" s="325">
        <f t="shared" si="8"/>
        <v>13.412399616000073</v>
      </c>
    </row>
    <row r="45" spans="1:17" ht="12.75">
      <c r="A45" s="19">
        <v>33</v>
      </c>
      <c r="B45" s="328" t="s">
        <v>902</v>
      </c>
      <c r="C45" s="325">
        <v>369.4924044</v>
      </c>
      <c r="D45" s="325">
        <v>245.99629080000003</v>
      </c>
      <c r="E45" s="325">
        <f t="shared" si="0"/>
        <v>615.4886952</v>
      </c>
      <c r="F45" s="325">
        <v>0</v>
      </c>
      <c r="G45" s="325">
        <v>0</v>
      </c>
      <c r="H45" s="325">
        <f t="shared" si="1"/>
        <v>0</v>
      </c>
      <c r="I45" s="325">
        <f t="shared" si="2"/>
        <v>369.4924044</v>
      </c>
      <c r="J45" s="448">
        <f t="shared" si="3"/>
        <v>245.99629080000003</v>
      </c>
      <c r="K45" s="20">
        <f t="shared" si="4"/>
        <v>615.4886952</v>
      </c>
      <c r="L45" s="325">
        <v>337.61200339999994</v>
      </c>
      <c r="M45" s="325">
        <v>224.77133380000004</v>
      </c>
      <c r="N45" s="325">
        <f t="shared" si="5"/>
        <v>562.3833371999999</v>
      </c>
      <c r="O45" s="325">
        <f t="shared" si="6"/>
        <v>31.880401000000063</v>
      </c>
      <c r="P45" s="325">
        <f t="shared" si="7"/>
        <v>21.22495699999999</v>
      </c>
      <c r="Q45" s="325">
        <f t="shared" si="8"/>
        <v>53.10535800000005</v>
      </c>
    </row>
    <row r="46" spans="1:17" ht="12.75">
      <c r="A46" s="19">
        <v>34</v>
      </c>
      <c r="B46" s="328" t="s">
        <v>903</v>
      </c>
      <c r="C46" s="325">
        <v>370.8925584</v>
      </c>
      <c r="D46" s="325">
        <v>246.92846880000002</v>
      </c>
      <c r="E46" s="325">
        <f t="shared" si="0"/>
        <v>617.8210272</v>
      </c>
      <c r="F46" s="325">
        <v>0</v>
      </c>
      <c r="G46" s="325">
        <v>0</v>
      </c>
      <c r="H46" s="325">
        <f t="shared" si="1"/>
        <v>0</v>
      </c>
      <c r="I46" s="325">
        <f t="shared" si="2"/>
        <v>370.8925584</v>
      </c>
      <c r="J46" s="448">
        <f t="shared" si="3"/>
        <v>246.92846880000002</v>
      </c>
      <c r="K46" s="20">
        <f t="shared" si="4"/>
        <v>617.8210272</v>
      </c>
      <c r="L46" s="325">
        <v>381.09190490000003</v>
      </c>
      <c r="M46" s="325">
        <v>253.71886930000002</v>
      </c>
      <c r="N46" s="325">
        <f t="shared" si="5"/>
        <v>634.8107742000001</v>
      </c>
      <c r="O46" s="325">
        <f t="shared" si="6"/>
        <v>-10.199346500000047</v>
      </c>
      <c r="P46" s="325">
        <f t="shared" si="7"/>
        <v>-6.790400500000004</v>
      </c>
      <c r="Q46" s="325">
        <f t="shared" si="8"/>
        <v>-16.98974700000005</v>
      </c>
    </row>
    <row r="47" spans="1:17" ht="12.75">
      <c r="A47" s="19">
        <v>35</v>
      </c>
      <c r="B47" s="328" t="s">
        <v>904</v>
      </c>
      <c r="C47" s="325">
        <v>796.7288070000001</v>
      </c>
      <c r="D47" s="325">
        <v>530.4366990000001</v>
      </c>
      <c r="E47" s="325">
        <f t="shared" si="0"/>
        <v>1327.1655060000003</v>
      </c>
      <c r="F47" s="325">
        <v>0</v>
      </c>
      <c r="G47" s="325">
        <v>0</v>
      </c>
      <c r="H47" s="325">
        <f t="shared" si="1"/>
        <v>0</v>
      </c>
      <c r="I47" s="325">
        <f t="shared" si="2"/>
        <v>796.7288070000001</v>
      </c>
      <c r="J47" s="448">
        <f t="shared" si="3"/>
        <v>530.4366990000001</v>
      </c>
      <c r="K47" s="20">
        <f t="shared" si="4"/>
        <v>1327.1655060000003</v>
      </c>
      <c r="L47" s="325">
        <v>792.883782663</v>
      </c>
      <c r="M47" s="325">
        <v>527.876804091</v>
      </c>
      <c r="N47" s="325">
        <f t="shared" si="5"/>
        <v>1320.760586754</v>
      </c>
      <c r="O47" s="325">
        <f t="shared" si="6"/>
        <v>3.8450243370000408</v>
      </c>
      <c r="P47" s="325">
        <f t="shared" si="7"/>
        <v>2.559894909000036</v>
      </c>
      <c r="Q47" s="325">
        <f t="shared" si="8"/>
        <v>6.404919246000077</v>
      </c>
    </row>
    <row r="48" spans="1:17" s="15" customFormat="1" ht="12.75">
      <c r="A48" s="3"/>
      <c r="B48" s="3" t="s">
        <v>19</v>
      </c>
      <c r="C48" s="3">
        <v>30203.629622599998</v>
      </c>
      <c r="D48" s="3">
        <v>20108.6159482</v>
      </c>
      <c r="E48" s="3">
        <f aca="true" t="shared" si="9" ref="E48:Q48">SUM(E13:E47)</f>
        <v>50312.24557079999</v>
      </c>
      <c r="F48" s="521">
        <f t="shared" si="9"/>
        <v>0</v>
      </c>
      <c r="G48" s="521">
        <f t="shared" si="9"/>
        <v>0</v>
      </c>
      <c r="H48" s="521">
        <f t="shared" si="9"/>
        <v>0</v>
      </c>
      <c r="I48" s="357">
        <f t="shared" si="2"/>
        <v>30203.629622599998</v>
      </c>
      <c r="J48" s="541">
        <f t="shared" si="3"/>
        <v>20108.6159482</v>
      </c>
      <c r="K48" s="521">
        <f t="shared" si="9"/>
        <v>50312.24557079999</v>
      </c>
      <c r="L48" s="521">
        <v>29942.651559506</v>
      </c>
      <c r="M48" s="521">
        <v>19934.865054442</v>
      </c>
      <c r="N48" s="521">
        <f t="shared" si="9"/>
        <v>49877.516613948</v>
      </c>
      <c r="O48" s="521">
        <f t="shared" si="9"/>
        <v>260.97806309400005</v>
      </c>
      <c r="P48" s="521">
        <f t="shared" si="9"/>
        <v>173.75089375800042</v>
      </c>
      <c r="Q48" s="521">
        <f t="shared" si="9"/>
        <v>434.72895685200047</v>
      </c>
    </row>
    <row r="49" spans="1:17" ht="12.75">
      <c r="A49" s="12"/>
      <c r="B49" s="31"/>
      <c r="C49" s="31"/>
      <c r="D49" s="31"/>
      <c r="E49" s="22"/>
      <c r="F49" s="358"/>
      <c r="G49" s="358"/>
      <c r="H49" s="22"/>
      <c r="I49" s="340"/>
      <c r="J49" s="22"/>
      <c r="K49" s="22"/>
      <c r="L49" s="358"/>
      <c r="M49" s="358"/>
      <c r="N49" s="358"/>
      <c r="O49" s="22"/>
      <c r="P49" s="22"/>
      <c r="Q49" s="22"/>
    </row>
    <row r="50" spans="1:17" ht="14.25" customHeight="1">
      <c r="A50" s="855" t="s">
        <v>759</v>
      </c>
      <c r="B50" s="855"/>
      <c r="C50" s="855"/>
      <c r="D50" s="855"/>
      <c r="E50" s="855"/>
      <c r="F50" s="855"/>
      <c r="G50" s="855"/>
      <c r="H50" s="855"/>
      <c r="I50" s="855"/>
      <c r="J50" s="855"/>
      <c r="K50" s="855"/>
      <c r="L50" s="855"/>
      <c r="M50" s="855"/>
      <c r="N50" s="855"/>
      <c r="O50" s="855"/>
      <c r="P50" s="855"/>
      <c r="Q50" s="855"/>
    </row>
    <row r="51" spans="1:17" ht="15.75" customHeight="1">
      <c r="A51" s="35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14"/>
      <c r="M51" s="414"/>
      <c r="N51" s="414"/>
      <c r="O51" s="42"/>
      <c r="P51" s="42"/>
      <c r="Q51" s="42"/>
    </row>
    <row r="52" spans="1:17" ht="15.75" customHeight="1">
      <c r="A52" s="15" t="s">
        <v>12</v>
      </c>
      <c r="B52" s="15"/>
      <c r="C52" s="15"/>
      <c r="D52" s="15"/>
      <c r="E52" s="15" t="s">
        <v>11</v>
      </c>
      <c r="F52" s="345"/>
      <c r="G52" s="345"/>
      <c r="H52" s="15"/>
      <c r="I52" s="345"/>
      <c r="J52" s="345"/>
      <c r="K52" s="345"/>
      <c r="L52" s="345"/>
      <c r="M52" s="345"/>
      <c r="P52" s="827"/>
      <c r="Q52" s="827"/>
    </row>
    <row r="53" spans="1:18" ht="12.75" customHeight="1">
      <c r="A53" s="83"/>
      <c r="B53" s="83"/>
      <c r="C53" s="748" t="s">
        <v>1021</v>
      </c>
      <c r="D53" s="748"/>
      <c r="E53" s="748"/>
      <c r="F53" s="748"/>
      <c r="G53"/>
      <c r="H53"/>
      <c r="I53"/>
      <c r="J53"/>
      <c r="K53"/>
      <c r="L53"/>
      <c r="M53"/>
      <c r="N53" s="748" t="s">
        <v>1024</v>
      </c>
      <c r="O53" s="748"/>
      <c r="P53" s="748"/>
      <c r="Q53" s="748"/>
      <c r="R53" s="122"/>
    </row>
    <row r="54" spans="1:18" ht="12.75" customHeight="1">
      <c r="A54" s="83"/>
      <c r="B54" s="83"/>
      <c r="C54" s="748" t="s">
        <v>1022</v>
      </c>
      <c r="D54" s="748"/>
      <c r="E54" s="748"/>
      <c r="F54" s="748"/>
      <c r="G54"/>
      <c r="H54"/>
      <c r="I54" s="15"/>
      <c r="J54" s="15"/>
      <c r="K54" s="15"/>
      <c r="L54" s="15"/>
      <c r="M54" s="15"/>
      <c r="N54" s="748" t="s">
        <v>1025</v>
      </c>
      <c r="O54" s="748"/>
      <c r="P54" s="748"/>
      <c r="Q54" s="748"/>
      <c r="R54" s="122"/>
    </row>
    <row r="55" spans="1:18" ht="12.75">
      <c r="A55" s="15"/>
      <c r="B55" s="15"/>
      <c r="C55" s="735" t="s">
        <v>1023</v>
      </c>
      <c r="D55" s="735"/>
      <c r="E55" s="735"/>
      <c r="F55" s="735"/>
      <c r="G55"/>
      <c r="H55"/>
      <c r="I55" s="83"/>
      <c r="J55" s="83"/>
      <c r="K55" s="83"/>
      <c r="L55" s="83"/>
      <c r="M55" s="83"/>
      <c r="N55" s="735" t="s">
        <v>1023</v>
      </c>
      <c r="O55" s="735"/>
      <c r="P55" s="735"/>
      <c r="Q55" s="735"/>
      <c r="R55" s="1"/>
    </row>
    <row r="56" spans="3:22" ht="12.75"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/>
      <c r="S56"/>
      <c r="T56"/>
      <c r="U56"/>
      <c r="V56"/>
    </row>
    <row r="57" ht="12.75">
      <c r="E57" s="16" t="s">
        <v>11</v>
      </c>
    </row>
    <row r="58" ht="12.75">
      <c r="M58" s="341" t="s">
        <v>11</v>
      </c>
    </row>
  </sheetData>
  <sheetProtection/>
  <mergeCells count="21">
    <mergeCell ref="P1:Q1"/>
    <mergeCell ref="A2:Q2"/>
    <mergeCell ref="A3:Q3"/>
    <mergeCell ref="N9:Q9"/>
    <mergeCell ref="A10:A11"/>
    <mergeCell ref="B10:B11"/>
    <mergeCell ref="C10:E10"/>
    <mergeCell ref="F10:H10"/>
    <mergeCell ref="N54:Q54"/>
    <mergeCell ref="R1:R10"/>
    <mergeCell ref="I10:K10"/>
    <mergeCell ref="L10:N10"/>
    <mergeCell ref="O10:Q10"/>
    <mergeCell ref="P52:Q52"/>
    <mergeCell ref="N55:Q55"/>
    <mergeCell ref="C53:F53"/>
    <mergeCell ref="C54:F54"/>
    <mergeCell ref="C55:F55"/>
    <mergeCell ref="N53:Q53"/>
    <mergeCell ref="D6:O6"/>
    <mergeCell ref="A50:Q50"/>
  </mergeCells>
  <printOptions horizontalCentered="1"/>
  <pageMargins left="0.7086614173228347" right="0.7086614173228347" top="0.2362204724409449" bottom="0" header="0.22" footer="0.31496062992125984"/>
  <pageSetup fitToHeight="1" fitToWidth="1" horizontalDpi="600" verticalDpi="600" orientation="landscape" paperSize="9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view="pageBreakPreview" zoomScale="77" zoomScaleNormal="70" zoomScaleSheetLayoutView="77" zoomScalePageLayoutView="0" workbookViewId="0" topLeftCell="A1">
      <pane xSplit="2" ySplit="13" topLeftCell="D47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49" sqref="A49:IV49"/>
    </sheetView>
  </sheetViews>
  <sheetFormatPr defaultColWidth="9.140625" defaultRowHeight="12.75"/>
  <cols>
    <col min="2" max="2" width="17.8515625" style="0" customWidth="1"/>
    <col min="3" max="3" width="14.7109375" style="0" customWidth="1"/>
    <col min="4" max="4" width="11.28125" style="0" customWidth="1"/>
    <col min="5" max="5" width="12.421875" style="0" customWidth="1"/>
    <col min="6" max="6" width="12.00390625" style="0" customWidth="1"/>
    <col min="7" max="7" width="13.140625" style="0" customWidth="1"/>
    <col min="8" max="8" width="11.421875" style="0" bestFit="1" customWidth="1"/>
    <col min="9" max="9" width="10.00390625" style="0" bestFit="1" customWidth="1"/>
    <col min="10" max="10" width="11.28125" style="0" customWidth="1"/>
    <col min="11" max="11" width="12.00390625" style="0" bestFit="1" customWidth="1"/>
    <col min="12" max="12" width="11.140625" style="0" bestFit="1" customWidth="1"/>
    <col min="14" max="14" width="12.57421875" style="0" customWidth="1"/>
    <col min="15" max="15" width="10.57421875" style="0" bestFit="1" customWidth="1"/>
    <col min="17" max="17" width="10.8515625" style="0" bestFit="1" customWidth="1"/>
    <col min="18" max="18" width="10.28125" style="0" customWidth="1"/>
    <col min="19" max="19" width="11.00390625" style="0" bestFit="1" customWidth="1"/>
    <col min="20" max="21" width="11.140625" style="0" customWidth="1"/>
    <col min="22" max="22" width="11.8515625" style="0" customWidth="1"/>
    <col min="25" max="25" width="15.140625" style="0" customWidth="1"/>
  </cols>
  <sheetData>
    <row r="1" spans="1:22" ht="16.5">
      <c r="A1" s="350"/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814" t="s">
        <v>65</v>
      </c>
      <c r="R1" s="814"/>
      <c r="S1" s="814"/>
      <c r="T1" s="350"/>
      <c r="U1" s="350"/>
      <c r="V1" s="350"/>
    </row>
    <row r="2" spans="1:22" ht="16.5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</row>
    <row r="3" spans="1:22" ht="16.5">
      <c r="A3" s="815" t="s">
        <v>0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350"/>
      <c r="S3" s="350"/>
      <c r="T3" s="350"/>
      <c r="U3" s="350"/>
      <c r="V3" s="350"/>
    </row>
    <row r="4" spans="1:22" ht="16.5">
      <c r="A4" s="870" t="s">
        <v>656</v>
      </c>
      <c r="B4" s="870"/>
      <c r="C4" s="870"/>
      <c r="D4" s="870"/>
      <c r="E4" s="870"/>
      <c r="F4" s="870"/>
      <c r="G4" s="870"/>
      <c r="H4" s="870"/>
      <c r="I4" s="870"/>
      <c r="J4" s="870"/>
      <c r="K4" s="870"/>
      <c r="L4" s="870"/>
      <c r="M4" s="870"/>
      <c r="N4" s="870"/>
      <c r="O4" s="870"/>
      <c r="P4" s="870"/>
      <c r="Q4" s="368"/>
      <c r="R4" s="350"/>
      <c r="S4" s="350"/>
      <c r="T4" s="350"/>
      <c r="U4" s="350"/>
      <c r="V4" s="350"/>
    </row>
    <row r="5" spans="1:22" ht="16.5">
      <c r="A5" s="36" t="s">
        <v>1005</v>
      </c>
      <c r="B5" s="36"/>
      <c r="C5" s="15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50"/>
      <c r="S5" s="350"/>
      <c r="T5" s="350"/>
      <c r="U5" s="350"/>
      <c r="V5" s="350"/>
    </row>
    <row r="6" spans="1:22" ht="16.5">
      <c r="A6" s="368"/>
      <c r="B6" s="368"/>
      <c r="C6" s="369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50"/>
      <c r="S6" s="350"/>
      <c r="T6" s="350"/>
      <c r="U6" s="368"/>
      <c r="V6" s="350"/>
    </row>
    <row r="7" spans="1:22" ht="16.5">
      <c r="A7" s="350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</row>
    <row r="8" spans="1:22" ht="16.5">
      <c r="A8" s="874" t="s">
        <v>234</v>
      </c>
      <c r="B8" s="874"/>
      <c r="C8" s="874"/>
      <c r="D8" s="874"/>
      <c r="E8" s="874"/>
      <c r="F8" s="874"/>
      <c r="G8" s="874"/>
      <c r="H8" s="874"/>
      <c r="I8" s="874"/>
      <c r="J8" s="874"/>
      <c r="K8" s="874"/>
      <c r="L8" s="874"/>
      <c r="M8" s="874"/>
      <c r="N8" s="874"/>
      <c r="O8" s="874"/>
      <c r="P8" s="874"/>
      <c r="Q8" s="874"/>
      <c r="R8" s="874"/>
      <c r="S8" s="874"/>
      <c r="T8" s="350"/>
      <c r="U8" s="350"/>
      <c r="V8" s="350"/>
    </row>
    <row r="9" spans="1:22" ht="16.5">
      <c r="A9" s="370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875" t="s">
        <v>227</v>
      </c>
      <c r="Q9" s="875"/>
      <c r="R9" s="875"/>
      <c r="S9" s="875"/>
      <c r="T9" s="350"/>
      <c r="U9" s="346"/>
      <c r="V9" s="350"/>
    </row>
    <row r="10" spans="1:22" ht="16.5">
      <c r="A10" s="350"/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879" t="s">
        <v>822</v>
      </c>
      <c r="Q10" s="879"/>
      <c r="R10" s="879"/>
      <c r="S10" s="879"/>
      <c r="T10" s="350"/>
      <c r="U10" s="350"/>
      <c r="V10" s="350"/>
    </row>
    <row r="11" spans="1:22" ht="42.75" customHeight="1">
      <c r="A11" s="872" t="s">
        <v>24</v>
      </c>
      <c r="B11" s="865" t="s">
        <v>206</v>
      </c>
      <c r="C11" s="865" t="s">
        <v>382</v>
      </c>
      <c r="D11" s="865" t="s">
        <v>491</v>
      </c>
      <c r="E11" s="871" t="s">
        <v>683</v>
      </c>
      <c r="F11" s="871"/>
      <c r="G11" s="871"/>
      <c r="H11" s="880" t="s">
        <v>682</v>
      </c>
      <c r="I11" s="881"/>
      <c r="J11" s="882"/>
      <c r="K11" s="867" t="s">
        <v>384</v>
      </c>
      <c r="L11" s="868"/>
      <c r="M11" s="869"/>
      <c r="N11" s="876" t="s">
        <v>157</v>
      </c>
      <c r="O11" s="877"/>
      <c r="P11" s="878"/>
      <c r="Q11" s="817" t="s">
        <v>828</v>
      </c>
      <c r="R11" s="817"/>
      <c r="S11" s="817"/>
      <c r="T11" s="865" t="s">
        <v>256</v>
      </c>
      <c r="U11" s="865" t="s">
        <v>438</v>
      </c>
      <c r="V11" s="865" t="s">
        <v>385</v>
      </c>
    </row>
    <row r="12" spans="1:22" ht="72" customHeight="1">
      <c r="A12" s="873"/>
      <c r="B12" s="866"/>
      <c r="C12" s="866"/>
      <c r="D12" s="866"/>
      <c r="E12" s="371" t="s">
        <v>179</v>
      </c>
      <c r="F12" s="371" t="s">
        <v>207</v>
      </c>
      <c r="G12" s="371" t="s">
        <v>19</v>
      </c>
      <c r="H12" s="371" t="s">
        <v>179</v>
      </c>
      <c r="I12" s="371" t="s">
        <v>207</v>
      </c>
      <c r="J12" s="371" t="s">
        <v>19</v>
      </c>
      <c r="K12" s="371" t="s">
        <v>179</v>
      </c>
      <c r="L12" s="371" t="s">
        <v>207</v>
      </c>
      <c r="M12" s="371" t="s">
        <v>19</v>
      </c>
      <c r="N12" s="371" t="s">
        <v>179</v>
      </c>
      <c r="O12" s="371" t="s">
        <v>207</v>
      </c>
      <c r="P12" s="371" t="s">
        <v>19</v>
      </c>
      <c r="Q12" s="371" t="s">
        <v>238</v>
      </c>
      <c r="R12" s="371" t="s">
        <v>218</v>
      </c>
      <c r="S12" s="371" t="s">
        <v>219</v>
      </c>
      <c r="T12" s="866"/>
      <c r="U12" s="866"/>
      <c r="V12" s="866"/>
    </row>
    <row r="13" spans="1:22" ht="16.5">
      <c r="A13" s="352">
        <v>1</v>
      </c>
      <c r="B13" s="372">
        <v>2</v>
      </c>
      <c r="C13" s="349">
        <v>3</v>
      </c>
      <c r="D13" s="372">
        <v>4</v>
      </c>
      <c r="E13" s="372">
        <v>5</v>
      </c>
      <c r="F13" s="349">
        <v>6</v>
      </c>
      <c r="G13" s="372">
        <v>7</v>
      </c>
      <c r="H13" s="372">
        <v>8</v>
      </c>
      <c r="I13" s="349">
        <v>9</v>
      </c>
      <c r="J13" s="372">
        <v>10</v>
      </c>
      <c r="K13" s="372">
        <v>11</v>
      </c>
      <c r="L13" s="349">
        <v>12</v>
      </c>
      <c r="M13" s="372">
        <v>13</v>
      </c>
      <c r="N13" s="372">
        <v>14</v>
      </c>
      <c r="O13" s="349">
        <v>15</v>
      </c>
      <c r="P13" s="372">
        <v>16</v>
      </c>
      <c r="Q13" s="372">
        <v>17</v>
      </c>
      <c r="R13" s="349">
        <v>18</v>
      </c>
      <c r="S13" s="372">
        <v>19</v>
      </c>
      <c r="T13" s="372">
        <v>20</v>
      </c>
      <c r="U13" s="349">
        <v>21</v>
      </c>
      <c r="V13" s="372">
        <v>22</v>
      </c>
    </row>
    <row r="14" spans="1:28" ht="20.25" customHeight="1">
      <c r="A14" s="349">
        <v>1</v>
      </c>
      <c r="B14" s="373" t="s">
        <v>870</v>
      </c>
      <c r="C14" s="374">
        <v>9554</v>
      </c>
      <c r="D14" s="374">
        <v>9430</v>
      </c>
      <c r="E14" s="375">
        <f>C14*600*10/100000</f>
        <v>573.24</v>
      </c>
      <c r="F14" s="375">
        <f>C14*400*10/100000</f>
        <v>382.16</v>
      </c>
      <c r="G14" s="375">
        <f>E14+F14</f>
        <v>955.4000000000001</v>
      </c>
      <c r="H14" s="375">
        <v>-87.22</v>
      </c>
      <c r="I14" s="375">
        <v>65.71</v>
      </c>
      <c r="J14" s="375">
        <f>H14+I14</f>
        <v>-21.510000000000005</v>
      </c>
      <c r="K14" s="375">
        <v>573.24</v>
      </c>
      <c r="L14" s="375">
        <v>382.16</v>
      </c>
      <c r="M14" s="375">
        <f>K14+L14</f>
        <v>955.4000000000001</v>
      </c>
      <c r="N14" s="375">
        <f>D14*10*600/100000</f>
        <v>565.8</v>
      </c>
      <c r="O14" s="375">
        <f>D14*400*10/100000</f>
        <v>377.2</v>
      </c>
      <c r="P14" s="375">
        <f>N14+O14</f>
        <v>943</v>
      </c>
      <c r="Q14" s="375">
        <f>H14+K14-N14</f>
        <v>-79.77999999999997</v>
      </c>
      <c r="R14" s="375">
        <f>I14+L14-O14</f>
        <v>70.67000000000002</v>
      </c>
      <c r="S14" s="375">
        <f>Q14+R14</f>
        <v>-9.109999999999957</v>
      </c>
      <c r="T14" s="374" t="s">
        <v>912</v>
      </c>
      <c r="U14" s="374">
        <v>9430</v>
      </c>
      <c r="V14" s="374">
        <v>9430</v>
      </c>
      <c r="Y14" s="342" t="s">
        <v>916</v>
      </c>
      <c r="Z14" s="343">
        <v>573.24</v>
      </c>
      <c r="AA14" s="343">
        <v>382.16</v>
      </c>
      <c r="AB14">
        <v>9554</v>
      </c>
    </row>
    <row r="15" spans="1:28" ht="20.25" customHeight="1">
      <c r="A15" s="349">
        <v>2</v>
      </c>
      <c r="B15" s="373" t="s">
        <v>871</v>
      </c>
      <c r="C15" s="374">
        <v>2821</v>
      </c>
      <c r="D15" s="374">
        <v>2850</v>
      </c>
      <c r="E15" s="375">
        <f aca="true" t="shared" si="0" ref="E15:E48">C15*600*10/100000</f>
        <v>169.26</v>
      </c>
      <c r="F15" s="375">
        <f aca="true" t="shared" si="1" ref="F15:F48">C15*400*10/100000</f>
        <v>112.84</v>
      </c>
      <c r="G15" s="375">
        <f aca="true" t="shared" si="2" ref="G15:G48">E15+F15</f>
        <v>282.1</v>
      </c>
      <c r="H15" s="375">
        <v>-78.89</v>
      </c>
      <c r="I15" s="375">
        <v>-8.01</v>
      </c>
      <c r="J15" s="375">
        <f aca="true" t="shared" si="3" ref="J15:J48">H15+I15</f>
        <v>-86.9</v>
      </c>
      <c r="K15" s="375">
        <v>169.26</v>
      </c>
      <c r="L15" s="375">
        <v>112.84</v>
      </c>
      <c r="M15" s="375">
        <f aca="true" t="shared" si="4" ref="M15:M48">K15+L15</f>
        <v>282.1</v>
      </c>
      <c r="N15" s="375">
        <f aca="true" t="shared" si="5" ref="N15:N49">D15*10*600/100000</f>
        <v>171</v>
      </c>
      <c r="O15" s="375">
        <f aca="true" t="shared" si="6" ref="O15:O49">D15*400*10/100000</f>
        <v>114</v>
      </c>
      <c r="P15" s="375">
        <f aca="true" t="shared" si="7" ref="P15:P48">N15+O15</f>
        <v>285</v>
      </c>
      <c r="Q15" s="375">
        <f aca="true" t="shared" si="8" ref="Q15:Q49">H15+K15-N15</f>
        <v>-80.63000000000001</v>
      </c>
      <c r="R15" s="375">
        <f aca="true" t="shared" si="9" ref="R15:R49">I15+L15-O15</f>
        <v>-9.170000000000002</v>
      </c>
      <c r="S15" s="375">
        <f aca="true" t="shared" si="10" ref="S15:S48">Q15+R15</f>
        <v>-89.80000000000001</v>
      </c>
      <c r="T15" s="374" t="s">
        <v>912</v>
      </c>
      <c r="U15" s="374">
        <v>2850</v>
      </c>
      <c r="V15" s="374">
        <v>2850</v>
      </c>
      <c r="Y15" s="342" t="s">
        <v>917</v>
      </c>
      <c r="Z15" s="343">
        <v>169.26</v>
      </c>
      <c r="AA15" s="343">
        <v>112.84</v>
      </c>
      <c r="AB15">
        <v>2821</v>
      </c>
    </row>
    <row r="16" spans="1:28" ht="20.25" customHeight="1">
      <c r="A16" s="349">
        <v>3</v>
      </c>
      <c r="B16" s="373" t="s">
        <v>872</v>
      </c>
      <c r="C16" s="374">
        <v>4665</v>
      </c>
      <c r="D16" s="374">
        <v>4575</v>
      </c>
      <c r="E16" s="375">
        <f t="shared" si="0"/>
        <v>279.9</v>
      </c>
      <c r="F16" s="375">
        <f t="shared" si="1"/>
        <v>186.6</v>
      </c>
      <c r="G16" s="375">
        <f t="shared" si="2"/>
        <v>466.5</v>
      </c>
      <c r="H16" s="375">
        <v>22.72</v>
      </c>
      <c r="I16" s="375">
        <v>4.83</v>
      </c>
      <c r="J16" s="375">
        <f t="shared" si="3"/>
        <v>27.549999999999997</v>
      </c>
      <c r="K16" s="375">
        <v>279.9</v>
      </c>
      <c r="L16" s="375">
        <v>186.6</v>
      </c>
      <c r="M16" s="375">
        <f t="shared" si="4"/>
        <v>466.5</v>
      </c>
      <c r="N16" s="375">
        <f t="shared" si="5"/>
        <v>274.5</v>
      </c>
      <c r="O16" s="375">
        <f t="shared" si="6"/>
        <v>183</v>
      </c>
      <c r="P16" s="375">
        <f t="shared" si="7"/>
        <v>457.5</v>
      </c>
      <c r="Q16" s="375">
        <f t="shared" si="8"/>
        <v>28.120000000000005</v>
      </c>
      <c r="R16" s="375">
        <f t="shared" si="9"/>
        <v>8.430000000000007</v>
      </c>
      <c r="S16" s="375">
        <f t="shared" si="10"/>
        <v>36.55000000000001</v>
      </c>
      <c r="T16" s="374" t="s">
        <v>952</v>
      </c>
      <c r="U16" s="374">
        <v>4575</v>
      </c>
      <c r="V16" s="374">
        <v>4575</v>
      </c>
      <c r="Y16" s="342" t="s">
        <v>918</v>
      </c>
      <c r="Z16" s="343">
        <v>279.9</v>
      </c>
      <c r="AA16" s="343">
        <v>186.6</v>
      </c>
      <c r="AB16">
        <v>4665</v>
      </c>
    </row>
    <row r="17" spans="1:28" ht="20.25" customHeight="1">
      <c r="A17" s="349">
        <v>4</v>
      </c>
      <c r="B17" s="373" t="s">
        <v>873</v>
      </c>
      <c r="C17" s="374">
        <v>8010</v>
      </c>
      <c r="D17" s="374">
        <v>6290</v>
      </c>
      <c r="E17" s="375">
        <f t="shared" si="0"/>
        <v>480.6</v>
      </c>
      <c r="F17" s="375">
        <f t="shared" si="1"/>
        <v>320.4</v>
      </c>
      <c r="G17" s="375">
        <f t="shared" si="2"/>
        <v>801</v>
      </c>
      <c r="H17" s="375">
        <v>-158.65</v>
      </c>
      <c r="I17" s="375">
        <v>4.89</v>
      </c>
      <c r="J17" s="375">
        <f t="shared" si="3"/>
        <v>-153.76000000000002</v>
      </c>
      <c r="K17" s="375">
        <v>480.6</v>
      </c>
      <c r="L17" s="375">
        <v>320.4</v>
      </c>
      <c r="M17" s="375">
        <f t="shared" si="4"/>
        <v>801</v>
      </c>
      <c r="N17" s="375">
        <f t="shared" si="5"/>
        <v>377.4</v>
      </c>
      <c r="O17" s="375">
        <f t="shared" si="6"/>
        <v>251.6</v>
      </c>
      <c r="P17" s="375">
        <f>N17+O17</f>
        <v>629</v>
      </c>
      <c r="Q17" s="375">
        <f t="shared" si="8"/>
        <v>-55.44999999999993</v>
      </c>
      <c r="R17" s="375">
        <f t="shared" si="9"/>
        <v>73.68999999999997</v>
      </c>
      <c r="S17" s="375">
        <f t="shared" si="10"/>
        <v>18.240000000000038</v>
      </c>
      <c r="T17" s="374" t="s">
        <v>912</v>
      </c>
      <c r="U17" s="374">
        <v>6290</v>
      </c>
      <c r="V17" s="374">
        <v>6290</v>
      </c>
      <c r="Y17" s="342" t="s">
        <v>919</v>
      </c>
      <c r="Z17" s="343">
        <v>480.6</v>
      </c>
      <c r="AA17" s="343">
        <v>320.4</v>
      </c>
      <c r="AB17">
        <v>8010</v>
      </c>
    </row>
    <row r="18" spans="1:28" ht="20.25" customHeight="1">
      <c r="A18" s="349">
        <v>5</v>
      </c>
      <c r="B18" s="373" t="s">
        <v>874</v>
      </c>
      <c r="C18" s="374">
        <v>6846</v>
      </c>
      <c r="D18" s="374">
        <v>6846</v>
      </c>
      <c r="E18" s="375">
        <f t="shared" si="0"/>
        <v>410.76</v>
      </c>
      <c r="F18" s="375">
        <f t="shared" si="1"/>
        <v>273.84</v>
      </c>
      <c r="G18" s="375">
        <f t="shared" si="2"/>
        <v>684.5999999999999</v>
      </c>
      <c r="H18" s="375">
        <v>-42.4</v>
      </c>
      <c r="I18" s="375">
        <v>-36.81</v>
      </c>
      <c r="J18" s="375">
        <f t="shared" si="3"/>
        <v>-79.21000000000001</v>
      </c>
      <c r="K18" s="375">
        <v>410.76</v>
      </c>
      <c r="L18" s="375">
        <v>273.84</v>
      </c>
      <c r="M18" s="375">
        <f t="shared" si="4"/>
        <v>684.5999999999999</v>
      </c>
      <c r="N18" s="375">
        <f t="shared" si="5"/>
        <v>410.76</v>
      </c>
      <c r="O18" s="375">
        <f t="shared" si="6"/>
        <v>273.84</v>
      </c>
      <c r="P18" s="375">
        <f t="shared" si="7"/>
        <v>684.5999999999999</v>
      </c>
      <c r="Q18" s="375">
        <f t="shared" si="8"/>
        <v>-42.39999999999998</v>
      </c>
      <c r="R18" s="375">
        <f t="shared" si="9"/>
        <v>-36.81</v>
      </c>
      <c r="S18" s="375">
        <f t="shared" si="10"/>
        <v>-79.20999999999998</v>
      </c>
      <c r="T18" s="374" t="s">
        <v>912</v>
      </c>
      <c r="U18" s="374">
        <v>6846</v>
      </c>
      <c r="V18" s="374">
        <v>6846</v>
      </c>
      <c r="Y18" s="342" t="s">
        <v>920</v>
      </c>
      <c r="Z18" s="343">
        <v>410.76</v>
      </c>
      <c r="AA18" s="343">
        <v>273.84</v>
      </c>
      <c r="AB18">
        <v>6846</v>
      </c>
    </row>
    <row r="19" spans="1:28" ht="20.25" customHeight="1">
      <c r="A19" s="349">
        <v>6</v>
      </c>
      <c r="B19" s="373" t="s">
        <v>875</v>
      </c>
      <c r="C19" s="374">
        <v>2250</v>
      </c>
      <c r="D19" s="374">
        <v>2251</v>
      </c>
      <c r="E19" s="375">
        <f t="shared" si="0"/>
        <v>135</v>
      </c>
      <c r="F19" s="375">
        <f t="shared" si="1"/>
        <v>90</v>
      </c>
      <c r="G19" s="375">
        <f t="shared" si="2"/>
        <v>225</v>
      </c>
      <c r="H19" s="375">
        <v>-11.38</v>
      </c>
      <c r="I19" s="375">
        <v>-17.03</v>
      </c>
      <c r="J19" s="375">
        <f t="shared" si="3"/>
        <v>-28.410000000000004</v>
      </c>
      <c r="K19" s="375">
        <v>135</v>
      </c>
      <c r="L19" s="375">
        <v>90</v>
      </c>
      <c r="M19" s="375">
        <f t="shared" si="4"/>
        <v>225</v>
      </c>
      <c r="N19" s="375">
        <f t="shared" si="5"/>
        <v>135.06</v>
      </c>
      <c r="O19" s="375">
        <f t="shared" si="6"/>
        <v>90.04</v>
      </c>
      <c r="P19" s="375">
        <f t="shared" si="7"/>
        <v>225.10000000000002</v>
      </c>
      <c r="Q19" s="375">
        <f t="shared" si="8"/>
        <v>-11.439999999999998</v>
      </c>
      <c r="R19" s="375">
        <f t="shared" si="9"/>
        <v>-17.070000000000007</v>
      </c>
      <c r="S19" s="375">
        <f t="shared" si="10"/>
        <v>-28.510000000000005</v>
      </c>
      <c r="T19" s="374" t="s">
        <v>912</v>
      </c>
      <c r="U19" s="374">
        <v>2251</v>
      </c>
      <c r="V19" s="374">
        <v>2251</v>
      </c>
      <c r="Y19" s="342" t="s">
        <v>921</v>
      </c>
      <c r="Z19" s="343">
        <v>135</v>
      </c>
      <c r="AA19" s="343">
        <v>90</v>
      </c>
      <c r="AB19">
        <v>2250</v>
      </c>
    </row>
    <row r="20" spans="1:28" ht="20.25" customHeight="1">
      <c r="A20" s="349">
        <v>7</v>
      </c>
      <c r="B20" s="373" t="s">
        <v>876</v>
      </c>
      <c r="C20" s="374">
        <v>4609</v>
      </c>
      <c r="D20" s="374">
        <v>4582</v>
      </c>
      <c r="E20" s="375">
        <f t="shared" si="0"/>
        <v>276.54</v>
      </c>
      <c r="F20" s="375">
        <f t="shared" si="1"/>
        <v>184.36</v>
      </c>
      <c r="G20" s="375">
        <f t="shared" si="2"/>
        <v>460.90000000000003</v>
      </c>
      <c r="H20" s="375">
        <v>227.06</v>
      </c>
      <c r="I20" s="375">
        <v>146.55</v>
      </c>
      <c r="J20" s="375">
        <f t="shared" si="3"/>
        <v>373.61</v>
      </c>
      <c r="K20" s="375">
        <v>276.54</v>
      </c>
      <c r="L20" s="375">
        <v>184.36</v>
      </c>
      <c r="M20" s="375">
        <f t="shared" si="4"/>
        <v>460.90000000000003</v>
      </c>
      <c r="N20" s="375">
        <f t="shared" si="5"/>
        <v>274.92</v>
      </c>
      <c r="O20" s="375">
        <f t="shared" si="6"/>
        <v>183.28</v>
      </c>
      <c r="P20" s="375">
        <f t="shared" si="7"/>
        <v>458.20000000000005</v>
      </c>
      <c r="Q20" s="375">
        <f t="shared" si="8"/>
        <v>228.68</v>
      </c>
      <c r="R20" s="375">
        <f t="shared" si="9"/>
        <v>147.63000000000002</v>
      </c>
      <c r="S20" s="375">
        <f t="shared" si="10"/>
        <v>376.31000000000006</v>
      </c>
      <c r="T20" s="374" t="s">
        <v>912</v>
      </c>
      <c r="U20" s="374">
        <v>4582</v>
      </c>
      <c r="V20" s="374">
        <v>4582</v>
      </c>
      <c r="Y20" s="342" t="s">
        <v>922</v>
      </c>
      <c r="Z20" s="343">
        <v>276.54</v>
      </c>
      <c r="AA20" s="343">
        <v>184.36</v>
      </c>
      <c r="AB20">
        <v>4609</v>
      </c>
    </row>
    <row r="21" spans="1:28" ht="20.25" customHeight="1">
      <c r="A21" s="349">
        <v>8</v>
      </c>
      <c r="B21" s="373" t="s">
        <v>877</v>
      </c>
      <c r="C21" s="374">
        <v>4165</v>
      </c>
      <c r="D21" s="374">
        <v>4165</v>
      </c>
      <c r="E21" s="375">
        <f t="shared" si="0"/>
        <v>249.9</v>
      </c>
      <c r="F21" s="375">
        <f t="shared" si="1"/>
        <v>166.6</v>
      </c>
      <c r="G21" s="375">
        <f t="shared" si="2"/>
        <v>416.5</v>
      </c>
      <c r="H21" s="375">
        <v>200.28</v>
      </c>
      <c r="I21" s="375">
        <v>41.36</v>
      </c>
      <c r="J21" s="375">
        <f t="shared" si="3"/>
        <v>241.64</v>
      </c>
      <c r="K21" s="375">
        <v>249.9</v>
      </c>
      <c r="L21" s="375">
        <v>166.6</v>
      </c>
      <c r="M21" s="375">
        <f t="shared" si="4"/>
        <v>416.5</v>
      </c>
      <c r="N21" s="375">
        <f t="shared" si="5"/>
        <v>249.9</v>
      </c>
      <c r="O21" s="375">
        <f t="shared" si="6"/>
        <v>166.6</v>
      </c>
      <c r="P21" s="375">
        <f t="shared" si="7"/>
        <v>416.5</v>
      </c>
      <c r="Q21" s="375">
        <f t="shared" si="8"/>
        <v>200.28</v>
      </c>
      <c r="R21" s="375">
        <f t="shared" si="9"/>
        <v>41.359999999999985</v>
      </c>
      <c r="S21" s="375">
        <f t="shared" si="10"/>
        <v>241.64</v>
      </c>
      <c r="T21" s="374" t="s">
        <v>912</v>
      </c>
      <c r="U21" s="374">
        <v>4165</v>
      </c>
      <c r="V21" s="374">
        <v>4165</v>
      </c>
      <c r="Y21" s="342" t="s">
        <v>923</v>
      </c>
      <c r="Z21" s="343">
        <v>249.9</v>
      </c>
      <c r="AA21" s="343">
        <v>166.6</v>
      </c>
      <c r="AB21">
        <v>4165</v>
      </c>
    </row>
    <row r="22" spans="1:30" ht="20.25" customHeight="1">
      <c r="A22" s="349">
        <v>9</v>
      </c>
      <c r="B22" s="373" t="s">
        <v>878</v>
      </c>
      <c r="C22" s="374">
        <v>3416</v>
      </c>
      <c r="D22" s="374">
        <v>3428</v>
      </c>
      <c r="E22" s="375">
        <f t="shared" si="0"/>
        <v>204.96</v>
      </c>
      <c r="F22" s="375">
        <f t="shared" si="1"/>
        <v>136.64</v>
      </c>
      <c r="G22" s="375">
        <f t="shared" si="2"/>
        <v>341.6</v>
      </c>
      <c r="H22" s="375">
        <v>-357.63</v>
      </c>
      <c r="I22" s="375">
        <v>-119.98</v>
      </c>
      <c r="J22" s="375">
        <f t="shared" si="3"/>
        <v>-477.61</v>
      </c>
      <c r="K22" s="375">
        <v>204.96</v>
      </c>
      <c r="L22" s="375">
        <v>136.64</v>
      </c>
      <c r="M22" s="375">
        <f t="shared" si="4"/>
        <v>341.6</v>
      </c>
      <c r="N22" s="375">
        <f t="shared" si="5"/>
        <v>205.68</v>
      </c>
      <c r="O22" s="375">
        <f t="shared" si="6"/>
        <v>137.12</v>
      </c>
      <c r="P22" s="375">
        <f t="shared" si="7"/>
        <v>342.8</v>
      </c>
      <c r="Q22" s="375">
        <f t="shared" si="8"/>
        <v>-358.35</v>
      </c>
      <c r="R22" s="375">
        <f t="shared" si="9"/>
        <v>-120.46000000000002</v>
      </c>
      <c r="S22" s="375">
        <f t="shared" si="10"/>
        <v>-478.81000000000006</v>
      </c>
      <c r="T22" s="374" t="s">
        <v>912</v>
      </c>
      <c r="U22" s="374">
        <v>3428</v>
      </c>
      <c r="V22" s="374">
        <v>3428</v>
      </c>
      <c r="Y22" s="342" t="s">
        <v>924</v>
      </c>
      <c r="Z22" s="343">
        <v>204.96</v>
      </c>
      <c r="AA22" s="343">
        <v>136.64</v>
      </c>
      <c r="AB22">
        <v>3416</v>
      </c>
      <c r="AD22">
        <f>121.93+121.93+34.74+121.93</f>
        <v>400.53000000000003</v>
      </c>
    </row>
    <row r="23" spans="1:28" ht="20.25" customHeight="1">
      <c r="A23" s="349">
        <v>10</v>
      </c>
      <c r="B23" s="373" t="s">
        <v>879</v>
      </c>
      <c r="C23" s="374">
        <v>3390</v>
      </c>
      <c r="D23" s="374">
        <v>3435</v>
      </c>
      <c r="E23" s="375">
        <f t="shared" si="0"/>
        <v>203.4</v>
      </c>
      <c r="F23" s="375">
        <f t="shared" si="1"/>
        <v>135.6</v>
      </c>
      <c r="G23" s="375">
        <f t="shared" si="2"/>
        <v>339</v>
      </c>
      <c r="H23" s="375">
        <v>-0.16</v>
      </c>
      <c r="I23" s="375">
        <v>40.82</v>
      </c>
      <c r="J23" s="375">
        <f t="shared" si="3"/>
        <v>40.660000000000004</v>
      </c>
      <c r="K23" s="375">
        <v>203.4</v>
      </c>
      <c r="L23" s="375">
        <v>135.6</v>
      </c>
      <c r="M23" s="375">
        <f t="shared" si="4"/>
        <v>339</v>
      </c>
      <c r="N23" s="375">
        <f t="shared" si="5"/>
        <v>206.1</v>
      </c>
      <c r="O23" s="375">
        <f t="shared" si="6"/>
        <v>137.4</v>
      </c>
      <c r="P23" s="375">
        <f t="shared" si="7"/>
        <v>343.5</v>
      </c>
      <c r="Q23" s="375">
        <f t="shared" si="8"/>
        <v>-2.859999999999985</v>
      </c>
      <c r="R23" s="375">
        <f t="shared" si="9"/>
        <v>39.01999999999998</v>
      </c>
      <c r="S23" s="375">
        <f t="shared" si="10"/>
        <v>36.16</v>
      </c>
      <c r="T23" s="374" t="s">
        <v>912</v>
      </c>
      <c r="U23" s="374">
        <v>3435</v>
      </c>
      <c r="V23" s="374">
        <v>3435</v>
      </c>
      <c r="Y23" s="342" t="s">
        <v>925</v>
      </c>
      <c r="Z23" s="343">
        <v>203.4</v>
      </c>
      <c r="AA23" s="343">
        <v>135.6</v>
      </c>
      <c r="AB23">
        <v>3390</v>
      </c>
    </row>
    <row r="24" spans="1:28" ht="20.25" customHeight="1">
      <c r="A24" s="349">
        <v>11</v>
      </c>
      <c r="B24" s="373" t="s">
        <v>880</v>
      </c>
      <c r="C24" s="374">
        <v>2560</v>
      </c>
      <c r="D24" s="374">
        <v>2560</v>
      </c>
      <c r="E24" s="375">
        <f t="shared" si="0"/>
        <v>153.6</v>
      </c>
      <c r="F24" s="375">
        <f t="shared" si="1"/>
        <v>102.4</v>
      </c>
      <c r="G24" s="375">
        <f t="shared" si="2"/>
        <v>256</v>
      </c>
      <c r="H24" s="375">
        <v>-5.71</v>
      </c>
      <c r="I24" s="375">
        <v>14.14</v>
      </c>
      <c r="J24" s="375">
        <f t="shared" si="3"/>
        <v>8.43</v>
      </c>
      <c r="K24" s="375">
        <v>153.6</v>
      </c>
      <c r="L24" s="375">
        <v>102.4</v>
      </c>
      <c r="M24" s="375">
        <f t="shared" si="4"/>
        <v>256</v>
      </c>
      <c r="N24" s="375">
        <f t="shared" si="5"/>
        <v>153.6</v>
      </c>
      <c r="O24" s="375">
        <f t="shared" si="6"/>
        <v>102.4</v>
      </c>
      <c r="P24" s="375">
        <f t="shared" si="7"/>
        <v>256</v>
      </c>
      <c r="Q24" s="375">
        <f t="shared" si="8"/>
        <v>-5.710000000000008</v>
      </c>
      <c r="R24" s="375">
        <f t="shared" si="9"/>
        <v>14.14</v>
      </c>
      <c r="S24" s="375">
        <f t="shared" si="10"/>
        <v>8.429999999999993</v>
      </c>
      <c r="T24" s="374" t="s">
        <v>912</v>
      </c>
      <c r="U24" s="374">
        <v>2560</v>
      </c>
      <c r="V24" s="374">
        <v>2560</v>
      </c>
      <c r="Y24" s="342" t="s">
        <v>926</v>
      </c>
      <c r="Z24" s="343">
        <v>153.6</v>
      </c>
      <c r="AA24" s="343">
        <v>102.4</v>
      </c>
      <c r="AB24">
        <v>2560</v>
      </c>
    </row>
    <row r="25" spans="1:28" ht="20.25" customHeight="1">
      <c r="A25" s="349">
        <v>12</v>
      </c>
      <c r="B25" s="373" t="s">
        <v>881</v>
      </c>
      <c r="C25" s="374">
        <v>2327</v>
      </c>
      <c r="D25" s="374">
        <v>2317</v>
      </c>
      <c r="E25" s="375">
        <f t="shared" si="0"/>
        <v>139.62</v>
      </c>
      <c r="F25" s="375">
        <f t="shared" si="1"/>
        <v>93.08</v>
      </c>
      <c r="G25" s="375">
        <f t="shared" si="2"/>
        <v>232.7</v>
      </c>
      <c r="H25" s="375">
        <v>-0.62</v>
      </c>
      <c r="I25" s="375">
        <v>-7.68</v>
      </c>
      <c r="J25" s="375">
        <f t="shared" si="3"/>
        <v>-8.299999999999999</v>
      </c>
      <c r="K25" s="375">
        <v>139.63</v>
      </c>
      <c r="L25" s="375">
        <v>93.07</v>
      </c>
      <c r="M25" s="375">
        <f t="shared" si="4"/>
        <v>232.7</v>
      </c>
      <c r="N25" s="375">
        <f t="shared" si="5"/>
        <v>139.02</v>
      </c>
      <c r="O25" s="375">
        <f t="shared" si="6"/>
        <v>92.68</v>
      </c>
      <c r="P25" s="375">
        <f t="shared" si="7"/>
        <v>231.70000000000002</v>
      </c>
      <c r="Q25" s="375">
        <f t="shared" si="8"/>
        <v>-0.010000000000019327</v>
      </c>
      <c r="R25" s="375">
        <f t="shared" si="9"/>
        <v>-7.2900000000000205</v>
      </c>
      <c r="S25" s="375">
        <f t="shared" si="10"/>
        <v>-7.30000000000004</v>
      </c>
      <c r="T25" s="374" t="s">
        <v>912</v>
      </c>
      <c r="U25" s="374">
        <v>2317</v>
      </c>
      <c r="V25" s="374">
        <v>2317</v>
      </c>
      <c r="Y25" s="342" t="s">
        <v>927</v>
      </c>
      <c r="Z25" s="343">
        <v>139.63</v>
      </c>
      <c r="AA25" s="343">
        <v>93.07</v>
      </c>
      <c r="AB25">
        <v>2327</v>
      </c>
    </row>
    <row r="26" spans="1:28" ht="20.25" customHeight="1">
      <c r="A26" s="349">
        <v>13</v>
      </c>
      <c r="B26" s="373" t="s">
        <v>882</v>
      </c>
      <c r="C26" s="374">
        <v>6774</v>
      </c>
      <c r="D26" s="374">
        <v>6774</v>
      </c>
      <c r="E26" s="375">
        <f t="shared" si="0"/>
        <v>406.44</v>
      </c>
      <c r="F26" s="375">
        <f t="shared" si="1"/>
        <v>270.96</v>
      </c>
      <c r="G26" s="375">
        <f t="shared" si="2"/>
        <v>677.4</v>
      </c>
      <c r="H26" s="375">
        <v>-188.32</v>
      </c>
      <c r="I26" s="375">
        <v>-68.21</v>
      </c>
      <c r="J26" s="375">
        <f t="shared" si="3"/>
        <v>-256.53</v>
      </c>
      <c r="K26" s="375">
        <v>406.44</v>
      </c>
      <c r="L26" s="375">
        <v>270.96</v>
      </c>
      <c r="M26" s="375">
        <f t="shared" si="4"/>
        <v>677.4</v>
      </c>
      <c r="N26" s="375">
        <f t="shared" si="5"/>
        <v>406.44</v>
      </c>
      <c r="O26" s="375">
        <f t="shared" si="6"/>
        <v>270.96</v>
      </c>
      <c r="P26" s="375">
        <f t="shared" si="7"/>
        <v>677.4</v>
      </c>
      <c r="Q26" s="375">
        <f t="shared" si="8"/>
        <v>-188.32</v>
      </c>
      <c r="R26" s="375">
        <f t="shared" si="9"/>
        <v>-68.20999999999998</v>
      </c>
      <c r="S26" s="375">
        <f t="shared" si="10"/>
        <v>-256.53</v>
      </c>
      <c r="T26" s="374" t="s">
        <v>912</v>
      </c>
      <c r="U26" s="374">
        <v>6774</v>
      </c>
      <c r="V26" s="374">
        <v>6774</v>
      </c>
      <c r="Y26" s="342" t="s">
        <v>928</v>
      </c>
      <c r="Z26" s="343">
        <v>406.44</v>
      </c>
      <c r="AA26" s="343">
        <v>270.96</v>
      </c>
      <c r="AB26">
        <v>6774</v>
      </c>
    </row>
    <row r="27" spans="1:28" ht="20.25" customHeight="1">
      <c r="A27" s="349">
        <v>14</v>
      </c>
      <c r="B27" s="373" t="s">
        <v>883</v>
      </c>
      <c r="C27" s="374">
        <v>4219</v>
      </c>
      <c r="D27" s="374">
        <v>4164</v>
      </c>
      <c r="E27" s="375">
        <f t="shared" si="0"/>
        <v>253.14</v>
      </c>
      <c r="F27" s="375">
        <f t="shared" si="1"/>
        <v>168.76</v>
      </c>
      <c r="G27" s="375">
        <f t="shared" si="2"/>
        <v>421.9</v>
      </c>
      <c r="H27" s="375">
        <v>-133.75</v>
      </c>
      <c r="I27" s="375">
        <v>-23.41</v>
      </c>
      <c r="J27" s="375">
        <f t="shared" si="3"/>
        <v>-157.16</v>
      </c>
      <c r="K27" s="375">
        <v>253.14</v>
      </c>
      <c r="L27" s="375">
        <v>168.75</v>
      </c>
      <c r="M27" s="375">
        <f t="shared" si="4"/>
        <v>421.89</v>
      </c>
      <c r="N27" s="375">
        <f t="shared" si="5"/>
        <v>249.84</v>
      </c>
      <c r="O27" s="375">
        <f t="shared" si="6"/>
        <v>166.56</v>
      </c>
      <c r="P27" s="375">
        <f t="shared" si="7"/>
        <v>416.4</v>
      </c>
      <c r="Q27" s="375">
        <f t="shared" si="8"/>
        <v>-130.45000000000002</v>
      </c>
      <c r="R27" s="375">
        <f t="shared" si="9"/>
        <v>-21.22</v>
      </c>
      <c r="S27" s="375">
        <f t="shared" si="10"/>
        <v>-151.67000000000002</v>
      </c>
      <c r="T27" s="374" t="s">
        <v>912</v>
      </c>
      <c r="U27" s="374">
        <v>4164</v>
      </c>
      <c r="V27" s="374">
        <v>4164</v>
      </c>
      <c r="Y27" s="342" t="s">
        <v>929</v>
      </c>
      <c r="Z27" s="343">
        <v>253.14</v>
      </c>
      <c r="AA27" s="343">
        <v>168.75</v>
      </c>
      <c r="AB27">
        <v>4219</v>
      </c>
    </row>
    <row r="28" spans="1:28" ht="20.25" customHeight="1">
      <c r="A28" s="349">
        <v>15</v>
      </c>
      <c r="B28" s="373" t="s">
        <v>884</v>
      </c>
      <c r="C28" s="374">
        <v>6264</v>
      </c>
      <c r="D28" s="374">
        <v>6288</v>
      </c>
      <c r="E28" s="375">
        <f t="shared" si="0"/>
        <v>375.84</v>
      </c>
      <c r="F28" s="375">
        <f t="shared" si="1"/>
        <v>250.56</v>
      </c>
      <c r="G28" s="375">
        <f t="shared" si="2"/>
        <v>626.4</v>
      </c>
      <c r="H28" s="375">
        <v>-104.8</v>
      </c>
      <c r="I28" s="375">
        <v>70.92</v>
      </c>
      <c r="J28" s="375">
        <f t="shared" si="3"/>
        <v>-33.879999999999995</v>
      </c>
      <c r="K28" s="375">
        <v>375.84</v>
      </c>
      <c r="L28" s="375">
        <v>250.55</v>
      </c>
      <c r="M28" s="375">
        <f t="shared" si="4"/>
        <v>626.39</v>
      </c>
      <c r="N28" s="375">
        <f t="shared" si="5"/>
        <v>377.28</v>
      </c>
      <c r="O28" s="375">
        <f t="shared" si="6"/>
        <v>251.52</v>
      </c>
      <c r="P28" s="375">
        <f t="shared" si="7"/>
        <v>628.8</v>
      </c>
      <c r="Q28" s="375">
        <f t="shared" si="8"/>
        <v>-106.24000000000001</v>
      </c>
      <c r="R28" s="375">
        <f t="shared" si="9"/>
        <v>69.95000000000002</v>
      </c>
      <c r="S28" s="375">
        <f t="shared" si="10"/>
        <v>-36.28999999999999</v>
      </c>
      <c r="T28" s="374" t="s">
        <v>912</v>
      </c>
      <c r="U28" s="374">
        <v>6288</v>
      </c>
      <c r="V28" s="374">
        <v>6288</v>
      </c>
      <c r="Y28" s="342" t="s">
        <v>930</v>
      </c>
      <c r="Z28" s="343">
        <v>375.84</v>
      </c>
      <c r="AA28" s="343">
        <v>250.55</v>
      </c>
      <c r="AB28">
        <v>6264</v>
      </c>
    </row>
    <row r="29" spans="1:28" ht="20.25" customHeight="1">
      <c r="A29" s="349">
        <v>16</v>
      </c>
      <c r="B29" s="373" t="s">
        <v>885</v>
      </c>
      <c r="C29" s="374">
        <v>5163</v>
      </c>
      <c r="D29" s="374">
        <v>5163</v>
      </c>
      <c r="E29" s="375">
        <f t="shared" si="0"/>
        <v>309.78</v>
      </c>
      <c r="F29" s="375">
        <f t="shared" si="1"/>
        <v>206.52</v>
      </c>
      <c r="G29" s="375">
        <f t="shared" si="2"/>
        <v>516.3</v>
      </c>
      <c r="H29" s="375">
        <v>-174.7</v>
      </c>
      <c r="I29" s="375">
        <v>4.9</v>
      </c>
      <c r="J29" s="375">
        <f t="shared" si="3"/>
        <v>-169.79999999999998</v>
      </c>
      <c r="K29" s="375">
        <v>309.78</v>
      </c>
      <c r="L29" s="375">
        <v>206.53</v>
      </c>
      <c r="M29" s="375">
        <f t="shared" si="4"/>
        <v>516.31</v>
      </c>
      <c r="N29" s="375">
        <f t="shared" si="5"/>
        <v>309.78</v>
      </c>
      <c r="O29" s="375">
        <f t="shared" si="6"/>
        <v>206.52</v>
      </c>
      <c r="P29" s="375">
        <f t="shared" si="7"/>
        <v>516.3</v>
      </c>
      <c r="Q29" s="375">
        <f t="shared" si="8"/>
        <v>-174.7</v>
      </c>
      <c r="R29" s="375">
        <f t="shared" si="9"/>
        <v>4.909999999999997</v>
      </c>
      <c r="S29" s="375">
        <f t="shared" si="10"/>
        <v>-169.79</v>
      </c>
      <c r="T29" s="374" t="s">
        <v>912</v>
      </c>
      <c r="U29" s="374">
        <v>5163</v>
      </c>
      <c r="V29" s="374">
        <v>5163</v>
      </c>
      <c r="Y29" s="342" t="s">
        <v>931</v>
      </c>
      <c r="Z29" s="343">
        <v>309.78</v>
      </c>
      <c r="AA29" s="343">
        <v>206.53</v>
      </c>
      <c r="AB29">
        <v>5163</v>
      </c>
    </row>
    <row r="30" spans="1:32" ht="20.25" customHeight="1">
      <c r="A30" s="349">
        <v>17</v>
      </c>
      <c r="B30" s="373" t="s">
        <v>886</v>
      </c>
      <c r="C30" s="374">
        <v>5306</v>
      </c>
      <c r="D30" s="374">
        <v>5204</v>
      </c>
      <c r="E30" s="375">
        <f t="shared" si="0"/>
        <v>318.36</v>
      </c>
      <c r="F30" s="375">
        <f t="shared" si="1"/>
        <v>212.24</v>
      </c>
      <c r="G30" s="375">
        <f t="shared" si="2"/>
        <v>530.6</v>
      </c>
      <c r="H30" s="375">
        <v>0</v>
      </c>
      <c r="I30" s="375">
        <v>0</v>
      </c>
      <c r="J30" s="375">
        <f t="shared" si="3"/>
        <v>0</v>
      </c>
      <c r="K30" s="375">
        <v>318.36</v>
      </c>
      <c r="L30" s="573">
        <v>148.56</v>
      </c>
      <c r="M30" s="375">
        <f t="shared" si="4"/>
        <v>466.92</v>
      </c>
      <c r="N30" s="375">
        <f t="shared" si="5"/>
        <v>312.24</v>
      </c>
      <c r="O30" s="375">
        <f t="shared" si="6"/>
        <v>208.16</v>
      </c>
      <c r="P30" s="375">
        <f t="shared" si="7"/>
        <v>520.4</v>
      </c>
      <c r="Q30" s="375">
        <f t="shared" si="8"/>
        <v>6.1200000000000045</v>
      </c>
      <c r="R30" s="375">
        <f t="shared" si="9"/>
        <v>-59.599999999999994</v>
      </c>
      <c r="S30" s="375">
        <f t="shared" si="10"/>
        <v>-53.47999999999999</v>
      </c>
      <c r="T30" s="374" t="s">
        <v>912</v>
      </c>
      <c r="U30" s="374">
        <v>5204</v>
      </c>
      <c r="V30" s="374">
        <v>5204</v>
      </c>
      <c r="Y30" s="342" t="s">
        <v>932</v>
      </c>
      <c r="Z30" s="343">
        <v>345.9</v>
      </c>
      <c r="AA30" s="343">
        <v>230.6</v>
      </c>
      <c r="AB30">
        <v>5765</v>
      </c>
      <c r="AD30">
        <f>K30+'T7ACC_UPY_Utlsn '!I29+'T7_CC_PY_Utlsn'!I30</f>
        <v>3950.873284413351</v>
      </c>
      <c r="AF30" s="16" t="s">
        <v>972</v>
      </c>
    </row>
    <row r="31" spans="1:30" ht="20.25" customHeight="1">
      <c r="A31" s="349">
        <v>18</v>
      </c>
      <c r="B31" s="373" t="s">
        <v>887</v>
      </c>
      <c r="C31" s="374">
        <v>5765</v>
      </c>
      <c r="D31" s="374">
        <v>5667</v>
      </c>
      <c r="E31" s="375">
        <f t="shared" si="0"/>
        <v>345.9</v>
      </c>
      <c r="F31" s="375">
        <f t="shared" si="1"/>
        <v>230.6</v>
      </c>
      <c r="G31" s="375">
        <f t="shared" si="2"/>
        <v>576.5</v>
      </c>
      <c r="H31" s="375">
        <v>-80.55</v>
      </c>
      <c r="I31" s="375">
        <v>-23.06</v>
      </c>
      <c r="J31" s="375">
        <f t="shared" si="3"/>
        <v>-103.61</v>
      </c>
      <c r="K31" s="375">
        <v>345.9</v>
      </c>
      <c r="L31" s="375">
        <v>230.6</v>
      </c>
      <c r="M31" s="375">
        <f t="shared" si="4"/>
        <v>576.5</v>
      </c>
      <c r="N31" s="375">
        <f t="shared" si="5"/>
        <v>340.02</v>
      </c>
      <c r="O31" s="375">
        <f t="shared" si="6"/>
        <v>226.68</v>
      </c>
      <c r="P31" s="375">
        <f t="shared" si="7"/>
        <v>566.7</v>
      </c>
      <c r="Q31" s="375">
        <f t="shared" si="8"/>
        <v>-74.67000000000002</v>
      </c>
      <c r="R31" s="375">
        <f t="shared" si="9"/>
        <v>-19.140000000000015</v>
      </c>
      <c r="S31" s="375">
        <f t="shared" si="10"/>
        <v>-93.81000000000003</v>
      </c>
      <c r="T31" s="374" t="s">
        <v>912</v>
      </c>
      <c r="U31" s="374">
        <v>5667</v>
      </c>
      <c r="V31" s="374">
        <v>5667</v>
      </c>
      <c r="Y31" s="342" t="s">
        <v>933</v>
      </c>
      <c r="Z31" s="343">
        <v>360.24</v>
      </c>
      <c r="AA31" s="343">
        <v>240.16</v>
      </c>
      <c r="AB31">
        <v>6004</v>
      </c>
      <c r="AD31">
        <v>2.3</v>
      </c>
    </row>
    <row r="32" spans="1:30" ht="20.25" customHeight="1">
      <c r="A32" s="349">
        <v>19</v>
      </c>
      <c r="B32" s="373" t="s">
        <v>888</v>
      </c>
      <c r="C32" s="374">
        <v>6004</v>
      </c>
      <c r="D32" s="374">
        <v>5948</v>
      </c>
      <c r="E32" s="375">
        <f t="shared" si="0"/>
        <v>360.24</v>
      </c>
      <c r="F32" s="375">
        <f t="shared" si="1"/>
        <v>240.16</v>
      </c>
      <c r="G32" s="375">
        <f t="shared" si="2"/>
        <v>600.4</v>
      </c>
      <c r="H32" s="375">
        <v>-251.1</v>
      </c>
      <c r="I32" s="375">
        <v>-68.26</v>
      </c>
      <c r="J32" s="375">
        <f t="shared" si="3"/>
        <v>-319.36</v>
      </c>
      <c r="K32" s="375">
        <v>360.24</v>
      </c>
      <c r="L32" s="375">
        <v>240.16</v>
      </c>
      <c r="M32" s="375">
        <f t="shared" si="4"/>
        <v>600.4</v>
      </c>
      <c r="N32" s="375">
        <f t="shared" si="5"/>
        <v>356.88</v>
      </c>
      <c r="O32" s="375">
        <f t="shared" si="6"/>
        <v>237.92</v>
      </c>
      <c r="P32" s="375">
        <f t="shared" si="7"/>
        <v>594.8</v>
      </c>
      <c r="Q32" s="375">
        <f t="shared" si="8"/>
        <v>-247.73999999999998</v>
      </c>
      <c r="R32" s="375">
        <f t="shared" si="9"/>
        <v>-66.02000000000001</v>
      </c>
      <c r="S32" s="375">
        <f t="shared" si="10"/>
        <v>-313.76</v>
      </c>
      <c r="T32" s="374" t="s">
        <v>912</v>
      </c>
      <c r="U32" s="374">
        <v>5948</v>
      </c>
      <c r="V32" s="374">
        <v>5948</v>
      </c>
      <c r="Y32" s="342" t="s">
        <v>934</v>
      </c>
      <c r="Z32" s="343">
        <v>246.36</v>
      </c>
      <c r="AA32" s="343">
        <v>164.24</v>
      </c>
      <c r="AB32">
        <v>4106</v>
      </c>
      <c r="AD32">
        <f>AD30+AD31</f>
        <v>3953.173284413351</v>
      </c>
    </row>
    <row r="33" spans="1:32" ht="20.25" customHeight="1">
      <c r="A33" s="349">
        <v>20</v>
      </c>
      <c r="B33" s="373" t="s">
        <v>889</v>
      </c>
      <c r="C33" s="374">
        <v>4106</v>
      </c>
      <c r="D33" s="374">
        <v>3489</v>
      </c>
      <c r="E33" s="375">
        <f t="shared" si="0"/>
        <v>246.36</v>
      </c>
      <c r="F33" s="375">
        <f t="shared" si="1"/>
        <v>164.24</v>
      </c>
      <c r="G33" s="375">
        <f t="shared" si="2"/>
        <v>410.6</v>
      </c>
      <c r="H33" s="375">
        <v>138.32</v>
      </c>
      <c r="I33" s="375">
        <v>9.11</v>
      </c>
      <c r="J33" s="375">
        <f t="shared" si="3"/>
        <v>147.43</v>
      </c>
      <c r="K33" s="375">
        <v>246.36</v>
      </c>
      <c r="L33" s="375">
        <v>164.24</v>
      </c>
      <c r="M33" s="375">
        <f t="shared" si="4"/>
        <v>410.6</v>
      </c>
      <c r="N33" s="375">
        <f t="shared" si="5"/>
        <v>209.34</v>
      </c>
      <c r="O33" s="375">
        <f t="shared" si="6"/>
        <v>139.56</v>
      </c>
      <c r="P33" s="375">
        <f t="shared" si="7"/>
        <v>348.9</v>
      </c>
      <c r="Q33" s="375">
        <f t="shared" si="8"/>
        <v>175.34</v>
      </c>
      <c r="R33" s="375">
        <f t="shared" si="9"/>
        <v>33.79000000000002</v>
      </c>
      <c r="S33" s="375">
        <f t="shared" si="10"/>
        <v>209.13000000000002</v>
      </c>
      <c r="T33" s="374" t="s">
        <v>912</v>
      </c>
      <c r="U33" s="374">
        <v>3489</v>
      </c>
      <c r="V33" s="374">
        <v>3489</v>
      </c>
      <c r="Y33" s="342" t="s">
        <v>935</v>
      </c>
      <c r="Z33" s="343">
        <v>576.76</v>
      </c>
      <c r="AA33" s="343">
        <v>384.54</v>
      </c>
      <c r="AB33">
        <v>9613</v>
      </c>
      <c r="AD33">
        <f>3242.28-AD32</f>
        <v>-710.893284413351</v>
      </c>
      <c r="AF33" s="16" t="s">
        <v>971</v>
      </c>
    </row>
    <row r="34" spans="1:28" ht="20.25" customHeight="1">
      <c r="A34" s="349">
        <v>21</v>
      </c>
      <c r="B34" s="373" t="s">
        <v>890</v>
      </c>
      <c r="C34" s="374">
        <v>9613</v>
      </c>
      <c r="D34" s="374">
        <v>9780</v>
      </c>
      <c r="E34" s="375">
        <f t="shared" si="0"/>
        <v>576.78</v>
      </c>
      <c r="F34" s="375">
        <f t="shared" si="1"/>
        <v>384.52</v>
      </c>
      <c r="G34" s="375">
        <f t="shared" si="2"/>
        <v>961.3</v>
      </c>
      <c r="H34" s="375">
        <v>143</v>
      </c>
      <c r="I34" s="375">
        <v>65.38</v>
      </c>
      <c r="J34" s="375">
        <f t="shared" si="3"/>
        <v>208.38</v>
      </c>
      <c r="K34" s="375">
        <v>576.76</v>
      </c>
      <c r="L34" s="375">
        <v>384.54</v>
      </c>
      <c r="M34" s="375">
        <f t="shared" si="4"/>
        <v>961.3</v>
      </c>
      <c r="N34" s="375">
        <f t="shared" si="5"/>
        <v>586.8</v>
      </c>
      <c r="O34" s="375">
        <f t="shared" si="6"/>
        <v>391.2</v>
      </c>
      <c r="P34" s="375">
        <f t="shared" si="7"/>
        <v>978</v>
      </c>
      <c r="Q34" s="375">
        <f t="shared" si="8"/>
        <v>132.96000000000004</v>
      </c>
      <c r="R34" s="375">
        <f t="shared" si="9"/>
        <v>58.72000000000003</v>
      </c>
      <c r="S34" s="375">
        <f t="shared" si="10"/>
        <v>191.68000000000006</v>
      </c>
      <c r="T34" s="374" t="s">
        <v>912</v>
      </c>
      <c r="U34" s="374">
        <v>9780</v>
      </c>
      <c r="V34" s="374">
        <v>9780</v>
      </c>
      <c r="Y34" s="342" t="s">
        <v>936</v>
      </c>
      <c r="Z34" s="343">
        <v>199.63</v>
      </c>
      <c r="AA34" s="343">
        <v>133.07</v>
      </c>
      <c r="AB34">
        <v>3327</v>
      </c>
    </row>
    <row r="35" spans="1:28" ht="20.25" customHeight="1">
      <c r="A35" s="349">
        <v>22</v>
      </c>
      <c r="B35" s="373" t="s">
        <v>891</v>
      </c>
      <c r="C35" s="374">
        <v>3327</v>
      </c>
      <c r="D35" s="374">
        <v>3327</v>
      </c>
      <c r="E35" s="375">
        <f t="shared" si="0"/>
        <v>199.62</v>
      </c>
      <c r="F35" s="375">
        <f t="shared" si="1"/>
        <v>133.08</v>
      </c>
      <c r="G35" s="375">
        <f t="shared" si="2"/>
        <v>332.70000000000005</v>
      </c>
      <c r="H35" s="375">
        <v>1.76</v>
      </c>
      <c r="I35" s="375">
        <v>34.36</v>
      </c>
      <c r="J35" s="375">
        <f t="shared" si="3"/>
        <v>36.12</v>
      </c>
      <c r="K35" s="375">
        <v>199.63</v>
      </c>
      <c r="L35" s="375">
        <v>133.07</v>
      </c>
      <c r="M35" s="375">
        <f t="shared" si="4"/>
        <v>332.7</v>
      </c>
      <c r="N35" s="375">
        <f t="shared" si="5"/>
        <v>199.62</v>
      </c>
      <c r="O35" s="375">
        <f t="shared" si="6"/>
        <v>133.08</v>
      </c>
      <c r="P35" s="375">
        <f t="shared" si="7"/>
        <v>332.70000000000005</v>
      </c>
      <c r="Q35" s="375">
        <f t="shared" si="8"/>
        <v>1.7699999999999818</v>
      </c>
      <c r="R35" s="375">
        <f t="shared" si="9"/>
        <v>34.349999999999994</v>
      </c>
      <c r="S35" s="375">
        <f t="shared" si="10"/>
        <v>36.119999999999976</v>
      </c>
      <c r="T35" s="374" t="s">
        <v>912</v>
      </c>
      <c r="U35" s="374">
        <v>3327</v>
      </c>
      <c r="V35" s="374">
        <v>3327</v>
      </c>
      <c r="Y35" s="342" t="s">
        <v>937</v>
      </c>
      <c r="Z35" s="343">
        <v>226.67</v>
      </c>
      <c r="AA35" s="343">
        <v>151.12</v>
      </c>
      <c r="AB35">
        <v>3778</v>
      </c>
    </row>
    <row r="36" spans="1:28" ht="20.25" customHeight="1">
      <c r="A36" s="349">
        <v>23</v>
      </c>
      <c r="B36" s="373" t="s">
        <v>892</v>
      </c>
      <c r="C36" s="374">
        <v>3452</v>
      </c>
      <c r="D36" s="374">
        <v>3386</v>
      </c>
      <c r="E36" s="375">
        <f t="shared" si="0"/>
        <v>207.12</v>
      </c>
      <c r="F36" s="375">
        <f t="shared" si="1"/>
        <v>138.08</v>
      </c>
      <c r="G36" s="375">
        <f t="shared" si="2"/>
        <v>345.20000000000005</v>
      </c>
      <c r="H36" s="375">
        <v>112.65</v>
      </c>
      <c r="I36" s="375">
        <v>50.23</v>
      </c>
      <c r="J36" s="375">
        <f t="shared" si="3"/>
        <v>162.88</v>
      </c>
      <c r="K36" s="375">
        <v>207.13</v>
      </c>
      <c r="L36" s="375">
        <v>138.07</v>
      </c>
      <c r="M36" s="375">
        <f t="shared" si="4"/>
        <v>345.2</v>
      </c>
      <c r="N36" s="375">
        <f t="shared" si="5"/>
        <v>203.16</v>
      </c>
      <c r="O36" s="375">
        <f t="shared" si="6"/>
        <v>135.44</v>
      </c>
      <c r="P36" s="375">
        <f t="shared" si="7"/>
        <v>338.6</v>
      </c>
      <c r="Q36" s="375">
        <f t="shared" si="8"/>
        <v>116.61999999999998</v>
      </c>
      <c r="R36" s="375">
        <f t="shared" si="9"/>
        <v>52.859999999999985</v>
      </c>
      <c r="S36" s="375">
        <f t="shared" si="10"/>
        <v>169.47999999999996</v>
      </c>
      <c r="T36" s="374" t="s">
        <v>912</v>
      </c>
      <c r="U36" s="374">
        <v>3386</v>
      </c>
      <c r="V36" s="374">
        <v>3386</v>
      </c>
      <c r="Y36" s="342" t="s">
        <v>938</v>
      </c>
      <c r="Z36" s="343">
        <v>207.13</v>
      </c>
      <c r="AA36" s="343">
        <v>138.07</v>
      </c>
      <c r="AB36">
        <v>3452</v>
      </c>
    </row>
    <row r="37" spans="1:28" ht="20.25" customHeight="1">
      <c r="A37" s="349">
        <v>24</v>
      </c>
      <c r="B37" s="373" t="s">
        <v>893</v>
      </c>
      <c r="C37" s="374">
        <v>9525</v>
      </c>
      <c r="D37" s="374">
        <v>9525</v>
      </c>
      <c r="E37" s="375">
        <f t="shared" si="0"/>
        <v>571.5</v>
      </c>
      <c r="F37" s="375">
        <f t="shared" si="1"/>
        <v>381</v>
      </c>
      <c r="G37" s="375">
        <f t="shared" si="2"/>
        <v>952.5</v>
      </c>
      <c r="H37" s="375">
        <v>63.57</v>
      </c>
      <c r="I37" s="375">
        <v>9.06</v>
      </c>
      <c r="J37" s="375">
        <f t="shared" si="3"/>
        <v>72.63</v>
      </c>
      <c r="K37" s="375">
        <v>571.5</v>
      </c>
      <c r="L37" s="375">
        <v>381</v>
      </c>
      <c r="M37" s="375">
        <f t="shared" si="4"/>
        <v>952.5</v>
      </c>
      <c r="N37" s="375">
        <f t="shared" si="5"/>
        <v>571.5</v>
      </c>
      <c r="O37" s="375">
        <f t="shared" si="6"/>
        <v>381</v>
      </c>
      <c r="P37" s="375">
        <f t="shared" si="7"/>
        <v>952.5</v>
      </c>
      <c r="Q37" s="375">
        <f t="shared" si="8"/>
        <v>63.57000000000005</v>
      </c>
      <c r="R37" s="375">
        <f t="shared" si="9"/>
        <v>9.060000000000002</v>
      </c>
      <c r="S37" s="375">
        <f t="shared" si="10"/>
        <v>72.63000000000005</v>
      </c>
      <c r="T37" s="374" t="s">
        <v>912</v>
      </c>
      <c r="U37" s="374">
        <v>9525</v>
      </c>
      <c r="V37" s="374">
        <v>9525</v>
      </c>
      <c r="Y37" s="342" t="s">
        <v>939</v>
      </c>
      <c r="Z37" s="343">
        <v>571.5</v>
      </c>
      <c r="AA37" s="343">
        <v>381</v>
      </c>
      <c r="AB37">
        <v>9525</v>
      </c>
    </row>
    <row r="38" spans="1:28" ht="20.25" customHeight="1">
      <c r="A38" s="349">
        <v>25</v>
      </c>
      <c r="B38" s="373" t="s">
        <v>894</v>
      </c>
      <c r="C38" s="374">
        <v>5220</v>
      </c>
      <c r="D38" s="374">
        <v>5139</v>
      </c>
      <c r="E38" s="375">
        <f t="shared" si="0"/>
        <v>313.2</v>
      </c>
      <c r="F38" s="375">
        <f t="shared" si="1"/>
        <v>208.8</v>
      </c>
      <c r="G38" s="375">
        <f t="shared" si="2"/>
        <v>522</v>
      </c>
      <c r="H38" s="375">
        <v>50.01</v>
      </c>
      <c r="I38" s="375">
        <v>-55.74</v>
      </c>
      <c r="J38" s="375">
        <f t="shared" si="3"/>
        <v>-5.730000000000004</v>
      </c>
      <c r="K38" s="375">
        <v>313.2</v>
      </c>
      <c r="L38" s="375">
        <v>208.8</v>
      </c>
      <c r="M38" s="375">
        <f t="shared" si="4"/>
        <v>522</v>
      </c>
      <c r="N38" s="375">
        <f t="shared" si="5"/>
        <v>308.34</v>
      </c>
      <c r="O38" s="375">
        <f t="shared" si="6"/>
        <v>205.56</v>
      </c>
      <c r="P38" s="375">
        <f t="shared" si="7"/>
        <v>513.9</v>
      </c>
      <c r="Q38" s="375">
        <f t="shared" si="8"/>
        <v>54.870000000000005</v>
      </c>
      <c r="R38" s="375">
        <f t="shared" si="9"/>
        <v>-52.5</v>
      </c>
      <c r="S38" s="375">
        <f t="shared" si="10"/>
        <v>2.3700000000000045</v>
      </c>
      <c r="T38" s="374" t="s">
        <v>912</v>
      </c>
      <c r="U38" s="374">
        <v>5139</v>
      </c>
      <c r="V38" s="374">
        <v>5139</v>
      </c>
      <c r="Y38" s="342" t="s">
        <v>940</v>
      </c>
      <c r="Z38" s="343">
        <v>313.2</v>
      </c>
      <c r="AA38" s="343">
        <v>208.8</v>
      </c>
      <c r="AB38">
        <v>5220</v>
      </c>
    </row>
    <row r="39" spans="1:28" ht="20.25" customHeight="1">
      <c r="A39" s="349">
        <v>26</v>
      </c>
      <c r="B39" s="373" t="s">
        <v>895</v>
      </c>
      <c r="C39" s="374">
        <v>5059</v>
      </c>
      <c r="D39" s="374">
        <v>4595</v>
      </c>
      <c r="E39" s="375">
        <f t="shared" si="0"/>
        <v>303.54</v>
      </c>
      <c r="F39" s="375">
        <f t="shared" si="1"/>
        <v>202.36</v>
      </c>
      <c r="G39" s="375">
        <f t="shared" si="2"/>
        <v>505.90000000000003</v>
      </c>
      <c r="H39" s="375">
        <v>152.1</v>
      </c>
      <c r="I39" s="375">
        <v>-35.07</v>
      </c>
      <c r="J39" s="375">
        <f t="shared" si="3"/>
        <v>117.03</v>
      </c>
      <c r="K39" s="375">
        <v>303.54</v>
      </c>
      <c r="L39" s="375">
        <v>202.36</v>
      </c>
      <c r="M39" s="375">
        <f t="shared" si="4"/>
        <v>505.90000000000003</v>
      </c>
      <c r="N39" s="375">
        <f t="shared" si="5"/>
        <v>275.7</v>
      </c>
      <c r="O39" s="375">
        <f t="shared" si="6"/>
        <v>183.8</v>
      </c>
      <c r="P39" s="375">
        <f t="shared" si="7"/>
        <v>459.5</v>
      </c>
      <c r="Q39" s="375">
        <f t="shared" si="8"/>
        <v>179.94</v>
      </c>
      <c r="R39" s="375">
        <f t="shared" si="9"/>
        <v>-16.50999999999999</v>
      </c>
      <c r="S39" s="375">
        <f t="shared" si="10"/>
        <v>163.43</v>
      </c>
      <c r="T39" s="374" t="s">
        <v>912</v>
      </c>
      <c r="U39" s="374">
        <v>4595</v>
      </c>
      <c r="V39" s="374">
        <v>4595</v>
      </c>
      <c r="Y39" s="342" t="s">
        <v>941</v>
      </c>
      <c r="Z39" s="343">
        <v>303.54</v>
      </c>
      <c r="AA39" s="343">
        <v>202.36</v>
      </c>
      <c r="AB39">
        <v>5059</v>
      </c>
    </row>
    <row r="40" spans="1:28" ht="20.25" customHeight="1">
      <c r="A40" s="349">
        <v>27</v>
      </c>
      <c r="B40" s="373" t="s">
        <v>896</v>
      </c>
      <c r="C40" s="374">
        <v>5021</v>
      </c>
      <c r="D40" s="374">
        <v>5024</v>
      </c>
      <c r="E40" s="375">
        <f t="shared" si="0"/>
        <v>301.26</v>
      </c>
      <c r="F40" s="375">
        <f t="shared" si="1"/>
        <v>200.84</v>
      </c>
      <c r="G40" s="375">
        <f t="shared" si="2"/>
        <v>502.1</v>
      </c>
      <c r="H40" s="375">
        <v>-0.96</v>
      </c>
      <c r="I40" s="375">
        <v>15.41</v>
      </c>
      <c r="J40" s="375">
        <f t="shared" si="3"/>
        <v>14.45</v>
      </c>
      <c r="K40" s="375">
        <v>301.26</v>
      </c>
      <c r="L40" s="375">
        <v>200.84</v>
      </c>
      <c r="M40" s="375">
        <f t="shared" si="4"/>
        <v>502.1</v>
      </c>
      <c r="N40" s="375">
        <f t="shared" si="5"/>
        <v>301.44</v>
      </c>
      <c r="O40" s="375">
        <f t="shared" si="6"/>
        <v>200.96</v>
      </c>
      <c r="P40" s="375">
        <f t="shared" si="7"/>
        <v>502.4</v>
      </c>
      <c r="Q40" s="375">
        <f t="shared" si="8"/>
        <v>-1.1399999999999864</v>
      </c>
      <c r="R40" s="375">
        <f t="shared" si="9"/>
        <v>15.289999999999992</v>
      </c>
      <c r="S40" s="375">
        <f t="shared" si="10"/>
        <v>14.150000000000006</v>
      </c>
      <c r="T40" s="374" t="s">
        <v>912</v>
      </c>
      <c r="U40" s="374">
        <v>5024</v>
      </c>
      <c r="V40" s="374">
        <v>5024</v>
      </c>
      <c r="Y40" s="342" t="s">
        <v>942</v>
      </c>
      <c r="Z40" s="343">
        <v>301.26</v>
      </c>
      <c r="AA40" s="343">
        <v>200.84</v>
      </c>
      <c r="AB40">
        <v>5021</v>
      </c>
    </row>
    <row r="41" spans="1:28" ht="20.25" customHeight="1">
      <c r="A41" s="349">
        <v>28</v>
      </c>
      <c r="B41" s="373" t="s">
        <v>897</v>
      </c>
      <c r="C41" s="374">
        <v>6234</v>
      </c>
      <c r="D41" s="374">
        <v>6224</v>
      </c>
      <c r="E41" s="375">
        <f t="shared" si="0"/>
        <v>374.04</v>
      </c>
      <c r="F41" s="375">
        <f t="shared" si="1"/>
        <v>249.36</v>
      </c>
      <c r="G41" s="375">
        <f t="shared" si="2"/>
        <v>623.4000000000001</v>
      </c>
      <c r="H41" s="375">
        <v>118</v>
      </c>
      <c r="I41" s="375">
        <v>375.9</v>
      </c>
      <c r="J41" s="375">
        <f t="shared" si="3"/>
        <v>493.9</v>
      </c>
      <c r="K41" s="375">
        <v>374.04</v>
      </c>
      <c r="L41" s="375">
        <v>249.36</v>
      </c>
      <c r="M41" s="375">
        <f t="shared" si="4"/>
        <v>623.4000000000001</v>
      </c>
      <c r="N41" s="375">
        <f t="shared" si="5"/>
        <v>373.44</v>
      </c>
      <c r="O41" s="375">
        <f t="shared" si="6"/>
        <v>248.96</v>
      </c>
      <c r="P41" s="375">
        <f t="shared" si="7"/>
        <v>622.4</v>
      </c>
      <c r="Q41" s="375">
        <f t="shared" si="8"/>
        <v>118.60000000000002</v>
      </c>
      <c r="R41" s="375">
        <f t="shared" si="9"/>
        <v>376.29999999999995</v>
      </c>
      <c r="S41" s="375">
        <f t="shared" si="10"/>
        <v>494.9</v>
      </c>
      <c r="T41" s="374" t="s">
        <v>912</v>
      </c>
      <c r="U41" s="374">
        <v>6224</v>
      </c>
      <c r="V41" s="374">
        <v>6224</v>
      </c>
      <c r="Y41" s="342" t="s">
        <v>943</v>
      </c>
      <c r="Z41" s="343">
        <v>374.04</v>
      </c>
      <c r="AA41" s="343">
        <v>249.36</v>
      </c>
      <c r="AB41">
        <v>6234</v>
      </c>
    </row>
    <row r="42" spans="1:28" ht="20.25" customHeight="1">
      <c r="A42" s="349">
        <v>29</v>
      </c>
      <c r="B42" s="373" t="s">
        <v>898</v>
      </c>
      <c r="C42" s="374">
        <v>2629</v>
      </c>
      <c r="D42" s="374">
        <v>2575</v>
      </c>
      <c r="E42" s="375">
        <f t="shared" si="0"/>
        <v>157.74</v>
      </c>
      <c r="F42" s="375">
        <f t="shared" si="1"/>
        <v>105.16</v>
      </c>
      <c r="G42" s="375">
        <f t="shared" si="2"/>
        <v>262.9</v>
      </c>
      <c r="H42" s="375">
        <v>-31.53</v>
      </c>
      <c r="I42" s="375">
        <v>3.58</v>
      </c>
      <c r="J42" s="375">
        <f t="shared" si="3"/>
        <v>-27.950000000000003</v>
      </c>
      <c r="K42" s="375">
        <v>157.74</v>
      </c>
      <c r="L42" s="375">
        <v>105.16</v>
      </c>
      <c r="M42" s="375">
        <f t="shared" si="4"/>
        <v>262.9</v>
      </c>
      <c r="N42" s="375">
        <f t="shared" si="5"/>
        <v>154.5</v>
      </c>
      <c r="O42" s="375">
        <f t="shared" si="6"/>
        <v>103</v>
      </c>
      <c r="P42" s="375">
        <f t="shared" si="7"/>
        <v>257.5</v>
      </c>
      <c r="Q42" s="375">
        <f t="shared" si="8"/>
        <v>-28.289999999999992</v>
      </c>
      <c r="R42" s="375">
        <f t="shared" si="9"/>
        <v>5.739999999999995</v>
      </c>
      <c r="S42" s="375">
        <f t="shared" si="10"/>
        <v>-22.549999999999997</v>
      </c>
      <c r="T42" s="374" t="s">
        <v>912</v>
      </c>
      <c r="U42" s="374">
        <v>2575</v>
      </c>
      <c r="V42" s="374">
        <v>2575</v>
      </c>
      <c r="Y42" s="342" t="s">
        <v>944</v>
      </c>
      <c r="Z42" s="343">
        <v>157.74</v>
      </c>
      <c r="AA42" s="343">
        <v>105.16</v>
      </c>
      <c r="AB42">
        <v>2629</v>
      </c>
    </row>
    <row r="43" spans="1:28" ht="20.25" customHeight="1">
      <c r="A43" s="349">
        <v>30</v>
      </c>
      <c r="B43" s="373" t="s">
        <v>899</v>
      </c>
      <c r="C43" s="374">
        <v>8835</v>
      </c>
      <c r="D43" s="374">
        <v>8567</v>
      </c>
      <c r="E43" s="375">
        <f t="shared" si="0"/>
        <v>530.1</v>
      </c>
      <c r="F43" s="375">
        <f t="shared" si="1"/>
        <v>353.4</v>
      </c>
      <c r="G43" s="375">
        <f t="shared" si="2"/>
        <v>883.5</v>
      </c>
      <c r="H43" s="375">
        <v>357.02</v>
      </c>
      <c r="I43" s="375">
        <v>434.44</v>
      </c>
      <c r="J43" s="375">
        <f t="shared" si="3"/>
        <v>791.46</v>
      </c>
      <c r="K43" s="375">
        <v>530.1</v>
      </c>
      <c r="L43" s="375">
        <v>353.4</v>
      </c>
      <c r="M43" s="375">
        <f t="shared" si="4"/>
        <v>883.5</v>
      </c>
      <c r="N43" s="375">
        <f t="shared" si="5"/>
        <v>514.02</v>
      </c>
      <c r="O43" s="375">
        <f t="shared" si="6"/>
        <v>342.68</v>
      </c>
      <c r="P43" s="375">
        <f t="shared" si="7"/>
        <v>856.7</v>
      </c>
      <c r="Q43" s="375">
        <f t="shared" si="8"/>
        <v>373.1</v>
      </c>
      <c r="R43" s="375">
        <f t="shared" si="9"/>
        <v>445.1599999999999</v>
      </c>
      <c r="S43" s="375">
        <f t="shared" si="10"/>
        <v>818.26</v>
      </c>
      <c r="T43" s="374" t="s">
        <v>912</v>
      </c>
      <c r="U43" s="374">
        <v>8567</v>
      </c>
      <c r="V43" s="374">
        <v>8567</v>
      </c>
      <c r="Y43" s="342" t="s">
        <v>945</v>
      </c>
      <c r="Z43" s="343">
        <v>530.1</v>
      </c>
      <c r="AA43" s="343">
        <v>353.4</v>
      </c>
      <c r="AB43">
        <v>8835</v>
      </c>
    </row>
    <row r="44" spans="1:28" ht="20.25" customHeight="1">
      <c r="A44" s="349">
        <v>31</v>
      </c>
      <c r="B44" s="373" t="s">
        <v>900</v>
      </c>
      <c r="C44" s="374">
        <v>4196</v>
      </c>
      <c r="D44" s="374">
        <v>4187</v>
      </c>
      <c r="E44" s="375">
        <f t="shared" si="0"/>
        <v>251.76</v>
      </c>
      <c r="F44" s="375">
        <f t="shared" si="1"/>
        <v>167.84</v>
      </c>
      <c r="G44" s="375">
        <f t="shared" si="2"/>
        <v>419.6</v>
      </c>
      <c r="H44" s="375">
        <v>322.58</v>
      </c>
      <c r="I44" s="375">
        <v>-72.63</v>
      </c>
      <c r="J44" s="375">
        <f t="shared" si="3"/>
        <v>249.95</v>
      </c>
      <c r="K44" s="375">
        <v>251.76</v>
      </c>
      <c r="L44" s="375">
        <v>167.84</v>
      </c>
      <c r="M44" s="375">
        <f t="shared" si="4"/>
        <v>419.6</v>
      </c>
      <c r="N44" s="375">
        <f t="shared" si="5"/>
        <v>251.22</v>
      </c>
      <c r="O44" s="375">
        <f t="shared" si="6"/>
        <v>167.48</v>
      </c>
      <c r="P44" s="375">
        <f t="shared" si="7"/>
        <v>418.7</v>
      </c>
      <c r="Q44" s="375">
        <f t="shared" si="8"/>
        <v>323.1199999999999</v>
      </c>
      <c r="R44" s="375">
        <f t="shared" si="9"/>
        <v>-72.26999999999998</v>
      </c>
      <c r="S44" s="375">
        <f t="shared" si="10"/>
        <v>250.8499999999999</v>
      </c>
      <c r="T44" s="374" t="s">
        <v>912</v>
      </c>
      <c r="U44" s="374">
        <v>4187</v>
      </c>
      <c r="V44" s="374">
        <v>4187</v>
      </c>
      <c r="Y44" s="342" t="s">
        <v>946</v>
      </c>
      <c r="Z44" s="343">
        <v>251.76</v>
      </c>
      <c r="AA44" s="343">
        <v>167.84</v>
      </c>
      <c r="AB44">
        <v>4196</v>
      </c>
    </row>
    <row r="45" spans="1:28" ht="20.25" customHeight="1">
      <c r="A45" s="349">
        <v>32</v>
      </c>
      <c r="B45" s="373" t="s">
        <v>901</v>
      </c>
      <c r="C45" s="374">
        <v>3778</v>
      </c>
      <c r="D45" s="374">
        <v>3515</v>
      </c>
      <c r="E45" s="375">
        <f t="shared" si="0"/>
        <v>226.68</v>
      </c>
      <c r="F45" s="375">
        <f t="shared" si="1"/>
        <v>151.12</v>
      </c>
      <c r="G45" s="375">
        <f t="shared" si="2"/>
        <v>377.8</v>
      </c>
      <c r="H45" s="375">
        <v>-18.94</v>
      </c>
      <c r="I45" s="375">
        <v>-12.64</v>
      </c>
      <c r="J45" s="375">
        <f t="shared" si="3"/>
        <v>-31.580000000000002</v>
      </c>
      <c r="K45" s="375">
        <v>226.67</v>
      </c>
      <c r="L45" s="375">
        <v>151.12</v>
      </c>
      <c r="M45" s="375">
        <f t="shared" si="4"/>
        <v>377.78999999999996</v>
      </c>
      <c r="N45" s="375">
        <f t="shared" si="5"/>
        <v>210.9</v>
      </c>
      <c r="O45" s="375">
        <f t="shared" si="6"/>
        <v>140.6</v>
      </c>
      <c r="P45" s="375">
        <f t="shared" si="7"/>
        <v>351.5</v>
      </c>
      <c r="Q45" s="375">
        <f t="shared" si="8"/>
        <v>-3.170000000000016</v>
      </c>
      <c r="R45" s="375">
        <f t="shared" si="9"/>
        <v>-2.119999999999976</v>
      </c>
      <c r="S45" s="375">
        <f t="shared" si="10"/>
        <v>-5.289999999999992</v>
      </c>
      <c r="T45" s="374" t="s">
        <v>912</v>
      </c>
      <c r="U45" s="374">
        <v>3515</v>
      </c>
      <c r="V45" s="374">
        <v>3515</v>
      </c>
      <c r="Y45" s="342" t="s">
        <v>947</v>
      </c>
      <c r="Z45" s="343">
        <v>138.54</v>
      </c>
      <c r="AA45" s="343">
        <v>92.36</v>
      </c>
      <c r="AB45">
        <v>2309</v>
      </c>
    </row>
    <row r="46" spans="1:28" ht="20.25" customHeight="1">
      <c r="A46" s="349">
        <v>33</v>
      </c>
      <c r="B46" s="373" t="s">
        <v>902</v>
      </c>
      <c r="C46" s="374">
        <v>2309</v>
      </c>
      <c r="D46" s="374">
        <v>2315</v>
      </c>
      <c r="E46" s="375">
        <f t="shared" si="0"/>
        <v>138.54</v>
      </c>
      <c r="F46" s="375">
        <f t="shared" si="1"/>
        <v>92.36</v>
      </c>
      <c r="G46" s="375">
        <f t="shared" si="2"/>
        <v>230.89999999999998</v>
      </c>
      <c r="H46" s="375">
        <v>47.46</v>
      </c>
      <c r="I46" s="375">
        <v>31.84</v>
      </c>
      <c r="J46" s="375">
        <f t="shared" si="3"/>
        <v>79.3</v>
      </c>
      <c r="K46" s="375">
        <v>138.54</v>
      </c>
      <c r="L46" s="375">
        <v>92.36</v>
      </c>
      <c r="M46" s="375">
        <f t="shared" si="4"/>
        <v>230.89999999999998</v>
      </c>
      <c r="N46" s="375">
        <f t="shared" si="5"/>
        <v>138.9</v>
      </c>
      <c r="O46" s="375">
        <f t="shared" si="6"/>
        <v>92.6</v>
      </c>
      <c r="P46" s="375">
        <f t="shared" si="7"/>
        <v>231.5</v>
      </c>
      <c r="Q46" s="375">
        <f t="shared" si="8"/>
        <v>47.099999999999994</v>
      </c>
      <c r="R46" s="375">
        <f t="shared" si="9"/>
        <v>31.60000000000001</v>
      </c>
      <c r="S46" s="375">
        <f t="shared" si="10"/>
        <v>78.7</v>
      </c>
      <c r="T46" s="374" t="s">
        <v>912</v>
      </c>
      <c r="U46" s="374">
        <v>2315</v>
      </c>
      <c r="V46" s="374">
        <v>2315</v>
      </c>
      <c r="Y46" s="342" t="s">
        <v>948</v>
      </c>
      <c r="Z46" s="343">
        <v>162.47</v>
      </c>
      <c r="AA46" s="343">
        <v>108.33</v>
      </c>
      <c r="AB46">
        <v>2708</v>
      </c>
    </row>
    <row r="47" spans="1:27" ht="20.25" customHeight="1">
      <c r="A47" s="349">
        <v>34</v>
      </c>
      <c r="B47" s="373" t="s">
        <v>903</v>
      </c>
      <c r="C47" s="374">
        <v>2708</v>
      </c>
      <c r="D47" s="374">
        <v>2310</v>
      </c>
      <c r="E47" s="375">
        <f t="shared" si="0"/>
        <v>162.48</v>
      </c>
      <c r="F47" s="375">
        <f t="shared" si="1"/>
        <v>108.32</v>
      </c>
      <c r="G47" s="375">
        <f t="shared" si="2"/>
        <v>270.79999999999995</v>
      </c>
      <c r="H47" s="375">
        <v>34.27</v>
      </c>
      <c r="I47" s="375">
        <v>8.43</v>
      </c>
      <c r="J47" s="375">
        <f t="shared" si="3"/>
        <v>42.7</v>
      </c>
      <c r="K47" s="375">
        <v>162.47</v>
      </c>
      <c r="L47" s="375">
        <v>108.33</v>
      </c>
      <c r="M47" s="375">
        <f t="shared" si="4"/>
        <v>270.8</v>
      </c>
      <c r="N47" s="375">
        <f t="shared" si="5"/>
        <v>138.6</v>
      </c>
      <c r="O47" s="375">
        <f t="shared" si="6"/>
        <v>92.4</v>
      </c>
      <c r="P47" s="375">
        <f t="shared" si="7"/>
        <v>231</v>
      </c>
      <c r="Q47" s="375">
        <f t="shared" si="8"/>
        <v>58.140000000000015</v>
      </c>
      <c r="R47" s="375">
        <f t="shared" si="9"/>
        <v>24.359999999999985</v>
      </c>
      <c r="S47" s="375">
        <f t="shared" si="10"/>
        <v>82.5</v>
      </c>
      <c r="T47" s="374" t="s">
        <v>912</v>
      </c>
      <c r="U47" s="374">
        <v>2310</v>
      </c>
      <c r="V47" s="374">
        <v>2310</v>
      </c>
      <c r="Y47" s="342"/>
      <c r="Z47" s="343"/>
      <c r="AA47" s="343"/>
    </row>
    <row r="48" spans="1:22" ht="20.25" customHeight="1">
      <c r="A48" s="662">
        <v>35</v>
      </c>
      <c r="B48" s="663" t="s">
        <v>904</v>
      </c>
      <c r="C48" s="664">
        <v>5216</v>
      </c>
      <c r="D48" s="664">
        <v>5236</v>
      </c>
      <c r="E48" s="665">
        <f t="shared" si="0"/>
        <v>312.96</v>
      </c>
      <c r="F48" s="665">
        <f t="shared" si="1"/>
        <v>208.64</v>
      </c>
      <c r="G48" s="665">
        <f t="shared" si="2"/>
        <v>521.5999999999999</v>
      </c>
      <c r="H48" s="665">
        <v>170.82</v>
      </c>
      <c r="I48" s="665">
        <v>-41.92</v>
      </c>
      <c r="J48" s="665">
        <f t="shared" si="3"/>
        <v>128.89999999999998</v>
      </c>
      <c r="K48" s="665">
        <v>312.96</v>
      </c>
      <c r="L48" s="665">
        <v>208.65</v>
      </c>
      <c r="M48" s="665">
        <f t="shared" si="4"/>
        <v>521.61</v>
      </c>
      <c r="N48" s="665">
        <f t="shared" si="5"/>
        <v>314.16</v>
      </c>
      <c r="O48" s="665">
        <f t="shared" si="6"/>
        <v>209.44</v>
      </c>
      <c r="P48" s="665">
        <f t="shared" si="7"/>
        <v>523.6</v>
      </c>
      <c r="Q48" s="665">
        <f t="shared" si="8"/>
        <v>169.61999999999995</v>
      </c>
      <c r="R48" s="665">
        <f t="shared" si="9"/>
        <v>-42.70999999999998</v>
      </c>
      <c r="S48" s="665">
        <f t="shared" si="10"/>
        <v>126.90999999999997</v>
      </c>
      <c r="T48" s="664" t="s">
        <v>912</v>
      </c>
      <c r="U48" s="664">
        <v>5236</v>
      </c>
      <c r="V48" s="664">
        <v>5236</v>
      </c>
    </row>
    <row r="49" spans="1:22" s="9" customFormat="1" ht="16.5">
      <c r="A49" s="327" t="s">
        <v>19</v>
      </c>
      <c r="B49" s="374"/>
      <c r="C49" s="374">
        <f aca="true" t="shared" si="11" ref="C49:T49">SUM(C14:C48)</f>
        <v>175336</v>
      </c>
      <c r="D49" s="374">
        <f t="shared" si="11"/>
        <v>171131</v>
      </c>
      <c r="E49" s="374">
        <f t="shared" si="11"/>
        <v>10520.159999999998</v>
      </c>
      <c r="F49" s="374">
        <f t="shared" si="11"/>
        <v>7013.439999999999</v>
      </c>
      <c r="G49" s="374">
        <f t="shared" si="11"/>
        <v>17533.6</v>
      </c>
      <c r="H49" s="374">
        <v>434.31</v>
      </c>
      <c r="I49" s="374">
        <f t="shared" si="11"/>
        <v>841.41</v>
      </c>
      <c r="J49" s="374">
        <f t="shared" si="11"/>
        <v>1275.7199999999998</v>
      </c>
      <c r="K49" s="374">
        <f t="shared" si="11"/>
        <v>10520.15</v>
      </c>
      <c r="L49" s="374">
        <f t="shared" si="11"/>
        <v>6949.7599999999975</v>
      </c>
      <c r="M49" s="374">
        <f t="shared" si="11"/>
        <v>17469.910000000003</v>
      </c>
      <c r="N49" s="375">
        <f t="shared" si="5"/>
        <v>10267.86</v>
      </c>
      <c r="O49" s="375">
        <f t="shared" si="6"/>
        <v>6845.24</v>
      </c>
      <c r="P49" s="374">
        <f t="shared" si="11"/>
        <v>17113.1</v>
      </c>
      <c r="Q49" s="375">
        <f t="shared" si="8"/>
        <v>686.5999999999985</v>
      </c>
      <c r="R49" s="375">
        <f t="shared" si="9"/>
        <v>945.9299999999976</v>
      </c>
      <c r="S49" s="374">
        <f t="shared" si="11"/>
        <v>1632.5300000000002</v>
      </c>
      <c r="T49" s="374">
        <f t="shared" si="11"/>
        <v>0</v>
      </c>
      <c r="U49" s="374">
        <f>SUM(U14:U48)</f>
        <v>171131</v>
      </c>
      <c r="V49" s="374">
        <f>SUM(V14:V48)</f>
        <v>171131</v>
      </c>
    </row>
    <row r="50" spans="1:22" ht="16.5">
      <c r="A50" s="350"/>
      <c r="B50" s="350"/>
      <c r="C50" s="350"/>
      <c r="D50" s="350"/>
      <c r="E50" s="350"/>
      <c r="F50" s="350"/>
      <c r="G50" s="350"/>
      <c r="H50" s="350"/>
      <c r="I50" s="350"/>
      <c r="J50" s="350"/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</row>
    <row r="51" spans="1:22" ht="16.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501"/>
      <c r="L51" s="501"/>
      <c r="M51" s="350"/>
      <c r="N51" s="350"/>
      <c r="O51" s="350"/>
      <c r="P51" s="350"/>
      <c r="Q51" s="350"/>
      <c r="R51" s="350"/>
      <c r="S51" s="350"/>
      <c r="T51" s="350"/>
      <c r="U51" s="350"/>
      <c r="V51" s="350"/>
    </row>
    <row r="52" spans="1:22" ht="16.5">
      <c r="A52" s="350"/>
      <c r="B52" s="350"/>
      <c r="C52" s="350"/>
      <c r="D52" s="350"/>
      <c r="E52" s="350"/>
      <c r="F52" s="350"/>
      <c r="G52" s="350"/>
      <c r="H52" s="350"/>
      <c r="I52" s="350"/>
      <c r="J52" s="350"/>
      <c r="K52" s="501"/>
      <c r="L52" s="501"/>
      <c r="M52" s="350"/>
      <c r="N52" s="350"/>
      <c r="O52" s="350"/>
      <c r="P52" s="350"/>
      <c r="Q52" s="350"/>
      <c r="R52" s="350"/>
      <c r="S52" s="350"/>
      <c r="T52" s="350"/>
      <c r="U52" s="350"/>
      <c r="V52" s="350"/>
    </row>
    <row r="53" spans="1:22" ht="16.5" customHeight="1">
      <c r="A53" s="350"/>
      <c r="B53" s="350"/>
      <c r="C53" s="748" t="s">
        <v>1021</v>
      </c>
      <c r="D53" s="748"/>
      <c r="E53" s="748"/>
      <c r="F53" s="748"/>
      <c r="R53" s="748" t="s">
        <v>1024</v>
      </c>
      <c r="S53" s="748"/>
      <c r="T53" s="748"/>
      <c r="U53" s="748"/>
      <c r="V53" s="748"/>
    </row>
    <row r="54" spans="1:22" ht="16.5" customHeight="1">
      <c r="A54" s="348" t="s">
        <v>12</v>
      </c>
      <c r="B54" s="348"/>
      <c r="C54" s="748" t="s">
        <v>1022</v>
      </c>
      <c r="D54" s="748"/>
      <c r="E54" s="748"/>
      <c r="F54" s="748"/>
      <c r="I54" s="15"/>
      <c r="J54" s="15"/>
      <c r="K54" s="15"/>
      <c r="L54" s="15"/>
      <c r="M54" s="15"/>
      <c r="N54" s="16"/>
      <c r="O54" s="16"/>
      <c r="P54" s="827"/>
      <c r="Q54" s="827"/>
      <c r="R54" s="748" t="s">
        <v>1025</v>
      </c>
      <c r="S54" s="748"/>
      <c r="T54" s="748"/>
      <c r="U54" s="748"/>
      <c r="V54" s="748"/>
    </row>
    <row r="55" spans="1:22" ht="16.5">
      <c r="A55" s="463"/>
      <c r="B55" s="463"/>
      <c r="C55" s="735" t="s">
        <v>1023</v>
      </c>
      <c r="D55" s="735"/>
      <c r="E55" s="735"/>
      <c r="F55" s="735"/>
      <c r="I55" s="83"/>
      <c r="J55" s="83"/>
      <c r="K55" s="83"/>
      <c r="L55" s="83"/>
      <c r="M55" s="83"/>
      <c r="N55" s="83"/>
      <c r="O55" s="83"/>
      <c r="P55" s="83"/>
      <c r="Q55" s="83"/>
      <c r="R55" s="735" t="s">
        <v>1023</v>
      </c>
      <c r="S55" s="735"/>
      <c r="T55" s="735"/>
      <c r="U55" s="735"/>
      <c r="V55" s="735"/>
    </row>
    <row r="56" spans="1:17" ht="16.5">
      <c r="A56" s="463"/>
      <c r="B56" s="46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22" ht="16.5">
      <c r="A57" s="350"/>
      <c r="B57" s="350"/>
      <c r="C57" s="350"/>
      <c r="D57" s="350"/>
      <c r="E57" s="350"/>
      <c r="F57" s="350"/>
      <c r="G57" s="350"/>
      <c r="H57" s="350"/>
      <c r="I57" s="350"/>
      <c r="J57" s="350"/>
      <c r="K57" s="350"/>
      <c r="L57" s="350"/>
      <c r="M57" s="350"/>
      <c r="N57" s="350"/>
      <c r="O57" s="368"/>
      <c r="P57" s="368"/>
      <c r="Q57" s="368"/>
      <c r="R57" s="350"/>
      <c r="S57" s="350"/>
      <c r="T57" s="350"/>
      <c r="U57" s="350"/>
      <c r="V57" s="350"/>
    </row>
  </sheetData>
  <sheetProtection/>
  <mergeCells count="25">
    <mergeCell ref="Q1:S1"/>
    <mergeCell ref="A3:Q3"/>
    <mergeCell ref="A8:S8"/>
    <mergeCell ref="P9:S9"/>
    <mergeCell ref="C11:C12"/>
    <mergeCell ref="B11:B12"/>
    <mergeCell ref="N11:P11"/>
    <mergeCell ref="P10:S10"/>
    <mergeCell ref="H11:J11"/>
    <mergeCell ref="Q11:S11"/>
    <mergeCell ref="T11:T12"/>
    <mergeCell ref="K11:M11"/>
    <mergeCell ref="D11:D12"/>
    <mergeCell ref="A4:P4"/>
    <mergeCell ref="V11:V12"/>
    <mergeCell ref="U11:U12"/>
    <mergeCell ref="E11:G11"/>
    <mergeCell ref="A11:A12"/>
    <mergeCell ref="C53:F53"/>
    <mergeCell ref="R53:V53"/>
    <mergeCell ref="C54:F54"/>
    <mergeCell ref="R54:V54"/>
    <mergeCell ref="C55:F55"/>
    <mergeCell ref="R55:V55"/>
    <mergeCell ref="P54:Q54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="80" zoomScaleNormal="80" zoomScaleSheetLayoutView="70" zoomScalePageLayoutView="0" workbookViewId="0" topLeftCell="A28">
      <selection activeCell="C52" sqref="C52:V55"/>
    </sheetView>
  </sheetViews>
  <sheetFormatPr defaultColWidth="9.140625" defaultRowHeight="12.75"/>
  <cols>
    <col min="2" max="2" width="11.57421875" style="0" customWidth="1"/>
    <col min="3" max="3" width="14.7109375" style="0" customWidth="1"/>
    <col min="4" max="4" width="11.140625" style="0" customWidth="1"/>
    <col min="5" max="5" width="12.421875" style="0" customWidth="1"/>
    <col min="6" max="6" width="12.00390625" style="0" customWidth="1"/>
    <col min="7" max="7" width="13.140625" style="0" customWidth="1"/>
    <col min="20" max="20" width="10.421875" style="0" customWidth="1"/>
    <col min="21" max="21" width="11.140625" style="0" customWidth="1"/>
    <col min="22" max="22" width="11.8515625" style="0" customWidth="1"/>
  </cols>
  <sheetData>
    <row r="1" spans="17:19" ht="15">
      <c r="Q1" s="897" t="s">
        <v>208</v>
      </c>
      <c r="R1" s="897"/>
      <c r="S1" s="897"/>
    </row>
    <row r="3" spans="1:17" ht="15">
      <c r="A3" s="811" t="s">
        <v>0</v>
      </c>
      <c r="B3" s="811"/>
      <c r="C3" s="811"/>
      <c r="D3" s="811"/>
      <c r="E3" s="811"/>
      <c r="F3" s="811"/>
      <c r="G3" s="811"/>
      <c r="H3" s="811"/>
      <c r="I3" s="811"/>
      <c r="J3" s="811"/>
      <c r="K3" s="811"/>
      <c r="L3" s="811"/>
      <c r="M3" s="811"/>
      <c r="N3" s="811"/>
      <c r="O3" s="811"/>
      <c r="P3" s="811"/>
      <c r="Q3" s="811"/>
    </row>
    <row r="4" spans="1:17" ht="20.25">
      <c r="A4" s="776" t="s">
        <v>656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  <c r="Q4" s="44"/>
    </row>
    <row r="5" spans="1:17" ht="15.75">
      <c r="A5" s="838" t="s">
        <v>1020</v>
      </c>
      <c r="B5" s="838"/>
      <c r="C5" s="838"/>
      <c r="D5" s="838"/>
      <c r="E5" s="838"/>
      <c r="F5" s="838"/>
      <c r="G5" s="838"/>
      <c r="H5" s="838"/>
      <c r="I5" s="838"/>
      <c r="J5" s="838"/>
      <c r="K5" s="838"/>
      <c r="L5" s="838"/>
      <c r="M5" s="838"/>
      <c r="N5" s="838"/>
      <c r="O5" s="838"/>
      <c r="P5" s="838"/>
      <c r="Q5" s="838"/>
    </row>
    <row r="6" spans="1:21" ht="12.75">
      <c r="A6" s="36"/>
      <c r="B6" s="36"/>
      <c r="C6" s="153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U6" s="36"/>
    </row>
    <row r="7" spans="1:19" ht="15.75">
      <c r="A7" s="734" t="s">
        <v>449</v>
      </c>
      <c r="B7" s="734"/>
      <c r="C7" s="734"/>
      <c r="D7" s="734"/>
      <c r="E7" s="734"/>
      <c r="F7" s="734"/>
      <c r="G7" s="734"/>
      <c r="H7" s="734"/>
      <c r="I7" s="734"/>
      <c r="J7" s="734"/>
      <c r="K7" s="734"/>
      <c r="L7" s="734"/>
      <c r="M7" s="734"/>
      <c r="N7" s="734"/>
      <c r="O7" s="734"/>
      <c r="P7" s="734"/>
      <c r="Q7" s="734"/>
      <c r="R7" s="734"/>
      <c r="S7" s="734"/>
    </row>
    <row r="8" spans="1:21" ht="15.75">
      <c r="A8" s="47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898" t="s">
        <v>227</v>
      </c>
      <c r="Q8" s="898"/>
      <c r="R8" s="898"/>
      <c r="S8" s="898"/>
      <c r="U8" s="40"/>
    </row>
    <row r="9" spans="16:19" ht="12.75">
      <c r="P9" s="842" t="s">
        <v>822</v>
      </c>
      <c r="Q9" s="842"/>
      <c r="R9" s="842"/>
      <c r="S9" s="842"/>
    </row>
    <row r="10" spans="1:22" ht="28.5" customHeight="1">
      <c r="A10" s="895" t="s">
        <v>24</v>
      </c>
      <c r="B10" s="808" t="s">
        <v>206</v>
      </c>
      <c r="C10" s="808" t="s">
        <v>382</v>
      </c>
      <c r="D10" s="808" t="s">
        <v>492</v>
      </c>
      <c r="E10" s="737" t="s">
        <v>683</v>
      </c>
      <c r="F10" s="737"/>
      <c r="G10" s="737"/>
      <c r="H10" s="696" t="s">
        <v>682</v>
      </c>
      <c r="I10" s="697"/>
      <c r="J10" s="698"/>
      <c r="K10" s="856" t="s">
        <v>384</v>
      </c>
      <c r="L10" s="857"/>
      <c r="M10" s="858"/>
      <c r="N10" s="892" t="s">
        <v>157</v>
      </c>
      <c r="O10" s="893"/>
      <c r="P10" s="894"/>
      <c r="Q10" s="709" t="s">
        <v>828</v>
      </c>
      <c r="R10" s="709"/>
      <c r="S10" s="709"/>
      <c r="T10" s="808" t="s">
        <v>256</v>
      </c>
      <c r="U10" s="808" t="s">
        <v>438</v>
      </c>
      <c r="V10" s="808" t="s">
        <v>385</v>
      </c>
    </row>
    <row r="11" spans="1:22" ht="69" customHeight="1">
      <c r="A11" s="896"/>
      <c r="B11" s="809"/>
      <c r="C11" s="809"/>
      <c r="D11" s="809"/>
      <c r="E11" s="5" t="s">
        <v>179</v>
      </c>
      <c r="F11" s="5" t="s">
        <v>207</v>
      </c>
      <c r="G11" s="5" t="s">
        <v>19</v>
      </c>
      <c r="H11" s="5" t="s">
        <v>179</v>
      </c>
      <c r="I11" s="5" t="s">
        <v>207</v>
      </c>
      <c r="J11" s="5" t="s">
        <v>19</v>
      </c>
      <c r="K11" s="5" t="s">
        <v>179</v>
      </c>
      <c r="L11" s="5" t="s">
        <v>207</v>
      </c>
      <c r="M11" s="5" t="s">
        <v>19</v>
      </c>
      <c r="N11" s="5" t="s">
        <v>179</v>
      </c>
      <c r="O11" s="5" t="s">
        <v>207</v>
      </c>
      <c r="P11" s="5" t="s">
        <v>19</v>
      </c>
      <c r="Q11" s="5" t="s">
        <v>238</v>
      </c>
      <c r="R11" s="5" t="s">
        <v>218</v>
      </c>
      <c r="S11" s="5" t="s">
        <v>219</v>
      </c>
      <c r="T11" s="809"/>
      <c r="U11" s="809"/>
      <c r="V11" s="809"/>
    </row>
    <row r="12" spans="1:22" ht="12.75">
      <c r="A12" s="152">
        <v>1</v>
      </c>
      <c r="B12" s="104">
        <v>2</v>
      </c>
      <c r="C12" s="8">
        <v>3</v>
      </c>
      <c r="D12" s="152">
        <v>4</v>
      </c>
      <c r="E12" s="104">
        <v>5</v>
      </c>
      <c r="F12" s="8">
        <v>6</v>
      </c>
      <c r="G12" s="152">
        <v>7</v>
      </c>
      <c r="H12" s="104">
        <v>8</v>
      </c>
      <c r="I12" s="8">
        <v>9</v>
      </c>
      <c r="J12" s="152">
        <v>10</v>
      </c>
      <c r="K12" s="104">
        <v>11</v>
      </c>
      <c r="L12" s="8">
        <v>12</v>
      </c>
      <c r="M12" s="152">
        <v>13</v>
      </c>
      <c r="N12" s="104">
        <v>14</v>
      </c>
      <c r="O12" s="8">
        <v>15</v>
      </c>
      <c r="P12" s="152">
        <v>16</v>
      </c>
      <c r="Q12" s="104">
        <v>17</v>
      </c>
      <c r="R12" s="8">
        <v>18</v>
      </c>
      <c r="S12" s="152">
        <v>19</v>
      </c>
      <c r="T12" s="104">
        <v>20</v>
      </c>
      <c r="U12" s="152">
        <v>21</v>
      </c>
      <c r="V12" s="104">
        <v>22</v>
      </c>
    </row>
    <row r="13" spans="1:22" ht="12.75">
      <c r="A13" s="19">
        <v>1</v>
      </c>
      <c r="B13" s="328" t="s">
        <v>870</v>
      </c>
      <c r="C13" s="9"/>
      <c r="D13" s="883" t="s">
        <v>1018</v>
      </c>
      <c r="E13" s="884"/>
      <c r="F13" s="884"/>
      <c r="G13" s="884"/>
      <c r="H13" s="884"/>
      <c r="I13" s="884"/>
      <c r="J13" s="884"/>
      <c r="K13" s="884"/>
      <c r="L13" s="884"/>
      <c r="M13" s="884"/>
      <c r="N13" s="884"/>
      <c r="O13" s="884"/>
      <c r="P13" s="884"/>
      <c r="Q13" s="884"/>
      <c r="R13" s="885"/>
      <c r="S13" s="9"/>
      <c r="T13" s="9"/>
      <c r="U13" s="9"/>
      <c r="V13" s="9"/>
    </row>
    <row r="14" spans="1:22" ht="12.75">
      <c r="A14" s="19">
        <v>2</v>
      </c>
      <c r="B14" s="328" t="s">
        <v>871</v>
      </c>
      <c r="C14" s="9"/>
      <c r="D14" s="886"/>
      <c r="E14" s="887"/>
      <c r="F14" s="887"/>
      <c r="G14" s="887"/>
      <c r="H14" s="887"/>
      <c r="I14" s="887"/>
      <c r="J14" s="887"/>
      <c r="K14" s="887"/>
      <c r="L14" s="887"/>
      <c r="M14" s="887"/>
      <c r="N14" s="887"/>
      <c r="O14" s="887"/>
      <c r="P14" s="887"/>
      <c r="Q14" s="887"/>
      <c r="R14" s="888"/>
      <c r="S14" s="9"/>
      <c r="T14" s="9"/>
      <c r="U14" s="9"/>
      <c r="V14" s="9"/>
    </row>
    <row r="15" spans="1:22" ht="12.75">
      <c r="A15" s="19">
        <v>3</v>
      </c>
      <c r="B15" s="328" t="s">
        <v>872</v>
      </c>
      <c r="C15" s="9"/>
      <c r="D15" s="886"/>
      <c r="E15" s="887"/>
      <c r="F15" s="887"/>
      <c r="G15" s="887"/>
      <c r="H15" s="887"/>
      <c r="I15" s="887"/>
      <c r="J15" s="887"/>
      <c r="K15" s="887"/>
      <c r="L15" s="887"/>
      <c r="M15" s="887"/>
      <c r="N15" s="887"/>
      <c r="O15" s="887"/>
      <c r="P15" s="887"/>
      <c r="Q15" s="887"/>
      <c r="R15" s="888"/>
      <c r="S15" s="9"/>
      <c r="T15" s="9"/>
      <c r="U15" s="9"/>
      <c r="V15" s="9"/>
    </row>
    <row r="16" spans="1:22" ht="12.75">
      <c r="A16" s="19">
        <v>4</v>
      </c>
      <c r="B16" s="328" t="s">
        <v>873</v>
      </c>
      <c r="C16" s="9"/>
      <c r="D16" s="886"/>
      <c r="E16" s="887"/>
      <c r="F16" s="887"/>
      <c r="G16" s="887"/>
      <c r="H16" s="887"/>
      <c r="I16" s="887"/>
      <c r="J16" s="887"/>
      <c r="K16" s="887"/>
      <c r="L16" s="887"/>
      <c r="M16" s="887"/>
      <c r="N16" s="887"/>
      <c r="O16" s="887"/>
      <c r="P16" s="887"/>
      <c r="Q16" s="887"/>
      <c r="R16" s="888"/>
      <c r="S16" s="9"/>
      <c r="T16" s="9"/>
      <c r="U16" s="9"/>
      <c r="V16" s="9"/>
    </row>
    <row r="17" spans="1:22" ht="12.75">
      <c r="A17" s="19">
        <v>5</v>
      </c>
      <c r="B17" s="328" t="s">
        <v>874</v>
      </c>
      <c r="C17" s="9"/>
      <c r="D17" s="886"/>
      <c r="E17" s="887"/>
      <c r="F17" s="887"/>
      <c r="G17" s="887"/>
      <c r="H17" s="887"/>
      <c r="I17" s="887"/>
      <c r="J17" s="887"/>
      <c r="K17" s="887"/>
      <c r="L17" s="887"/>
      <c r="M17" s="887"/>
      <c r="N17" s="887"/>
      <c r="O17" s="887"/>
      <c r="P17" s="887"/>
      <c r="Q17" s="887"/>
      <c r="R17" s="888"/>
      <c r="S17" s="9"/>
      <c r="T17" s="9"/>
      <c r="U17" s="9"/>
      <c r="V17" s="9"/>
    </row>
    <row r="18" spans="1:22" ht="12.75">
      <c r="A18" s="19">
        <v>6</v>
      </c>
      <c r="B18" s="328" t="s">
        <v>875</v>
      </c>
      <c r="C18" s="9"/>
      <c r="D18" s="886"/>
      <c r="E18" s="887"/>
      <c r="F18" s="887"/>
      <c r="G18" s="887"/>
      <c r="H18" s="887"/>
      <c r="I18" s="887"/>
      <c r="J18" s="887"/>
      <c r="K18" s="887"/>
      <c r="L18" s="887"/>
      <c r="M18" s="887"/>
      <c r="N18" s="887"/>
      <c r="O18" s="887"/>
      <c r="P18" s="887"/>
      <c r="Q18" s="887"/>
      <c r="R18" s="888"/>
      <c r="S18" s="9"/>
      <c r="T18" s="9"/>
      <c r="U18" s="9"/>
      <c r="V18" s="9"/>
    </row>
    <row r="19" spans="1:22" ht="12.75">
      <c r="A19" s="19">
        <v>7</v>
      </c>
      <c r="B19" s="328" t="s">
        <v>876</v>
      </c>
      <c r="C19" s="9"/>
      <c r="D19" s="886"/>
      <c r="E19" s="887"/>
      <c r="F19" s="887"/>
      <c r="G19" s="887"/>
      <c r="H19" s="887"/>
      <c r="I19" s="887"/>
      <c r="J19" s="887"/>
      <c r="K19" s="887"/>
      <c r="L19" s="887"/>
      <c r="M19" s="887"/>
      <c r="N19" s="887"/>
      <c r="O19" s="887"/>
      <c r="P19" s="887"/>
      <c r="Q19" s="887"/>
      <c r="R19" s="888"/>
      <c r="S19" s="9"/>
      <c r="T19" s="9"/>
      <c r="U19" s="9"/>
      <c r="V19" s="9"/>
    </row>
    <row r="20" spans="1:22" ht="12.75">
      <c r="A20" s="19">
        <v>8</v>
      </c>
      <c r="B20" s="328" t="s">
        <v>877</v>
      </c>
      <c r="C20" s="9"/>
      <c r="D20" s="886"/>
      <c r="E20" s="887"/>
      <c r="F20" s="887"/>
      <c r="G20" s="887"/>
      <c r="H20" s="887"/>
      <c r="I20" s="887"/>
      <c r="J20" s="887"/>
      <c r="K20" s="887"/>
      <c r="L20" s="887"/>
      <c r="M20" s="887"/>
      <c r="N20" s="887"/>
      <c r="O20" s="887"/>
      <c r="P20" s="887"/>
      <c r="Q20" s="887"/>
      <c r="R20" s="888"/>
      <c r="S20" s="9"/>
      <c r="T20" s="9"/>
      <c r="U20" s="9"/>
      <c r="V20" s="9"/>
    </row>
    <row r="21" spans="1:22" ht="12.75">
      <c r="A21" s="19">
        <v>9</v>
      </c>
      <c r="B21" s="328" t="s">
        <v>878</v>
      </c>
      <c r="C21" s="9"/>
      <c r="D21" s="886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888"/>
      <c r="S21" s="9"/>
      <c r="T21" s="9"/>
      <c r="U21" s="9"/>
      <c r="V21" s="9"/>
    </row>
    <row r="22" spans="1:22" ht="12.75">
      <c r="A22" s="19">
        <v>10</v>
      </c>
      <c r="B22" s="328" t="s">
        <v>879</v>
      </c>
      <c r="C22" s="9"/>
      <c r="D22" s="886"/>
      <c r="E22" s="887"/>
      <c r="F22" s="887"/>
      <c r="G22" s="887"/>
      <c r="H22" s="887"/>
      <c r="I22" s="887"/>
      <c r="J22" s="887"/>
      <c r="K22" s="887"/>
      <c r="L22" s="887"/>
      <c r="M22" s="887"/>
      <c r="N22" s="887"/>
      <c r="O22" s="887"/>
      <c r="P22" s="887"/>
      <c r="Q22" s="887"/>
      <c r="R22" s="888"/>
      <c r="S22" s="9"/>
      <c r="T22" s="9"/>
      <c r="U22" s="9"/>
      <c r="V22" s="9"/>
    </row>
    <row r="23" spans="1:22" ht="12.75">
      <c r="A23" s="19">
        <v>11</v>
      </c>
      <c r="B23" s="328" t="s">
        <v>880</v>
      </c>
      <c r="C23" s="9"/>
      <c r="D23" s="886"/>
      <c r="E23" s="887"/>
      <c r="F23" s="887"/>
      <c r="G23" s="887"/>
      <c r="H23" s="887"/>
      <c r="I23" s="887"/>
      <c r="J23" s="887"/>
      <c r="K23" s="887"/>
      <c r="L23" s="887"/>
      <c r="M23" s="887"/>
      <c r="N23" s="887"/>
      <c r="O23" s="887"/>
      <c r="P23" s="887"/>
      <c r="Q23" s="887"/>
      <c r="R23" s="888"/>
      <c r="S23" s="9"/>
      <c r="T23" s="9"/>
      <c r="U23" s="9"/>
      <c r="V23" s="9"/>
    </row>
    <row r="24" spans="1:22" ht="12.75">
      <c r="A24" s="19">
        <v>12</v>
      </c>
      <c r="B24" s="328" t="s">
        <v>881</v>
      </c>
      <c r="C24" s="9"/>
      <c r="D24" s="886"/>
      <c r="E24" s="887"/>
      <c r="F24" s="887"/>
      <c r="G24" s="887"/>
      <c r="H24" s="887"/>
      <c r="I24" s="887"/>
      <c r="J24" s="887"/>
      <c r="K24" s="887"/>
      <c r="L24" s="887"/>
      <c r="M24" s="887"/>
      <c r="N24" s="887"/>
      <c r="O24" s="887"/>
      <c r="P24" s="887"/>
      <c r="Q24" s="887"/>
      <c r="R24" s="888"/>
      <c r="S24" s="9"/>
      <c r="T24" s="9"/>
      <c r="U24" s="9"/>
      <c r="V24" s="9"/>
    </row>
    <row r="25" spans="1:22" ht="12.75">
      <c r="A25" s="19">
        <v>13</v>
      </c>
      <c r="B25" s="328" t="s">
        <v>882</v>
      </c>
      <c r="C25" s="9"/>
      <c r="D25" s="886"/>
      <c r="E25" s="887"/>
      <c r="F25" s="887"/>
      <c r="G25" s="887"/>
      <c r="H25" s="887"/>
      <c r="I25" s="887"/>
      <c r="J25" s="887"/>
      <c r="K25" s="887"/>
      <c r="L25" s="887"/>
      <c r="M25" s="887"/>
      <c r="N25" s="887"/>
      <c r="O25" s="887"/>
      <c r="P25" s="887"/>
      <c r="Q25" s="887"/>
      <c r="R25" s="888"/>
      <c r="S25" s="9"/>
      <c r="T25" s="9"/>
      <c r="U25" s="9"/>
      <c r="V25" s="9"/>
    </row>
    <row r="26" spans="1:22" ht="12.75">
      <c r="A26" s="19">
        <v>14</v>
      </c>
      <c r="B26" s="328" t="s">
        <v>883</v>
      </c>
      <c r="C26" s="9"/>
      <c r="D26" s="886"/>
      <c r="E26" s="887"/>
      <c r="F26" s="887"/>
      <c r="G26" s="887"/>
      <c r="H26" s="887"/>
      <c r="I26" s="887"/>
      <c r="J26" s="887"/>
      <c r="K26" s="887"/>
      <c r="L26" s="887"/>
      <c r="M26" s="887"/>
      <c r="N26" s="887"/>
      <c r="O26" s="887"/>
      <c r="P26" s="887"/>
      <c r="Q26" s="887"/>
      <c r="R26" s="888"/>
      <c r="S26" s="9"/>
      <c r="T26" s="9"/>
      <c r="U26" s="9"/>
      <c r="V26" s="9"/>
    </row>
    <row r="27" spans="1:22" ht="12.75">
      <c r="A27" s="19">
        <v>15</v>
      </c>
      <c r="B27" s="328" t="s">
        <v>884</v>
      </c>
      <c r="C27" s="9"/>
      <c r="D27" s="886"/>
      <c r="E27" s="887"/>
      <c r="F27" s="887"/>
      <c r="G27" s="887"/>
      <c r="H27" s="887"/>
      <c r="I27" s="887"/>
      <c r="J27" s="887"/>
      <c r="K27" s="887"/>
      <c r="L27" s="887"/>
      <c r="M27" s="887"/>
      <c r="N27" s="887"/>
      <c r="O27" s="887"/>
      <c r="P27" s="887"/>
      <c r="Q27" s="887"/>
      <c r="R27" s="888"/>
      <c r="S27" s="9"/>
      <c r="T27" s="9"/>
      <c r="U27" s="9"/>
      <c r="V27" s="9"/>
    </row>
    <row r="28" spans="1:22" ht="12.75">
      <c r="A28" s="19">
        <v>16</v>
      </c>
      <c r="B28" s="328" t="s">
        <v>885</v>
      </c>
      <c r="C28" s="9"/>
      <c r="D28" s="886"/>
      <c r="E28" s="887"/>
      <c r="F28" s="887"/>
      <c r="G28" s="887"/>
      <c r="H28" s="887"/>
      <c r="I28" s="887"/>
      <c r="J28" s="887"/>
      <c r="K28" s="887"/>
      <c r="L28" s="887"/>
      <c r="M28" s="887"/>
      <c r="N28" s="887"/>
      <c r="O28" s="887"/>
      <c r="P28" s="887"/>
      <c r="Q28" s="887"/>
      <c r="R28" s="888"/>
      <c r="S28" s="9"/>
      <c r="T28" s="9"/>
      <c r="U28" s="9"/>
      <c r="V28" s="9"/>
    </row>
    <row r="29" spans="1:22" ht="12.75">
      <c r="A29" s="19">
        <v>17</v>
      </c>
      <c r="B29" s="328" t="s">
        <v>886</v>
      </c>
      <c r="C29" s="9"/>
      <c r="D29" s="886"/>
      <c r="E29" s="887"/>
      <c r="F29" s="887"/>
      <c r="G29" s="887"/>
      <c r="H29" s="887"/>
      <c r="I29" s="887"/>
      <c r="J29" s="887"/>
      <c r="K29" s="887"/>
      <c r="L29" s="887"/>
      <c r="M29" s="887"/>
      <c r="N29" s="887"/>
      <c r="O29" s="887"/>
      <c r="P29" s="887"/>
      <c r="Q29" s="887"/>
      <c r="R29" s="888"/>
      <c r="S29" s="9"/>
      <c r="T29" s="9"/>
      <c r="U29" s="9"/>
      <c r="V29" s="9"/>
    </row>
    <row r="30" spans="1:22" ht="12.75">
      <c r="A30" s="19">
        <v>18</v>
      </c>
      <c r="B30" s="328" t="s">
        <v>887</v>
      </c>
      <c r="C30" s="9"/>
      <c r="D30" s="886"/>
      <c r="E30" s="887"/>
      <c r="F30" s="887"/>
      <c r="G30" s="887"/>
      <c r="H30" s="887"/>
      <c r="I30" s="887"/>
      <c r="J30" s="887"/>
      <c r="K30" s="887"/>
      <c r="L30" s="887"/>
      <c r="M30" s="887"/>
      <c r="N30" s="887"/>
      <c r="O30" s="887"/>
      <c r="P30" s="887"/>
      <c r="Q30" s="887"/>
      <c r="R30" s="888"/>
      <c r="S30" s="9"/>
      <c r="T30" s="9"/>
      <c r="U30" s="9"/>
      <c r="V30" s="9"/>
    </row>
    <row r="31" spans="1:22" ht="12.75">
      <c r="A31" s="19">
        <v>19</v>
      </c>
      <c r="B31" s="328" t="s">
        <v>888</v>
      </c>
      <c r="C31" s="9"/>
      <c r="D31" s="886"/>
      <c r="E31" s="887"/>
      <c r="F31" s="887"/>
      <c r="G31" s="887"/>
      <c r="H31" s="887"/>
      <c r="I31" s="887"/>
      <c r="J31" s="887"/>
      <c r="K31" s="887"/>
      <c r="L31" s="887"/>
      <c r="M31" s="887"/>
      <c r="N31" s="887"/>
      <c r="O31" s="887"/>
      <c r="P31" s="887"/>
      <c r="Q31" s="887"/>
      <c r="R31" s="888"/>
      <c r="S31" s="9"/>
      <c r="T31" s="9"/>
      <c r="U31" s="9"/>
      <c r="V31" s="9"/>
    </row>
    <row r="32" spans="1:22" ht="12.75">
      <c r="A32" s="19">
        <v>20</v>
      </c>
      <c r="B32" s="328" t="s">
        <v>889</v>
      </c>
      <c r="C32" s="9"/>
      <c r="D32" s="886"/>
      <c r="E32" s="887"/>
      <c r="F32" s="887"/>
      <c r="G32" s="887"/>
      <c r="H32" s="887"/>
      <c r="I32" s="887"/>
      <c r="J32" s="887"/>
      <c r="K32" s="887"/>
      <c r="L32" s="887"/>
      <c r="M32" s="887"/>
      <c r="N32" s="887"/>
      <c r="O32" s="887"/>
      <c r="P32" s="887"/>
      <c r="Q32" s="887"/>
      <c r="R32" s="888"/>
      <c r="S32" s="9"/>
      <c r="T32" s="9"/>
      <c r="U32" s="9"/>
      <c r="V32" s="9"/>
    </row>
    <row r="33" spans="1:22" ht="12.75">
      <c r="A33" s="19">
        <v>21</v>
      </c>
      <c r="B33" s="328" t="s">
        <v>890</v>
      </c>
      <c r="C33" s="9"/>
      <c r="D33" s="886"/>
      <c r="E33" s="887"/>
      <c r="F33" s="887"/>
      <c r="G33" s="887"/>
      <c r="H33" s="887"/>
      <c r="I33" s="887"/>
      <c r="J33" s="887"/>
      <c r="K33" s="887"/>
      <c r="L33" s="887"/>
      <c r="M33" s="887"/>
      <c r="N33" s="887"/>
      <c r="O33" s="887"/>
      <c r="P33" s="887"/>
      <c r="Q33" s="887"/>
      <c r="R33" s="888"/>
      <c r="S33" s="9"/>
      <c r="T33" s="9"/>
      <c r="U33" s="9"/>
      <c r="V33" s="9"/>
    </row>
    <row r="34" spans="1:22" ht="12.75">
      <c r="A34" s="19">
        <v>22</v>
      </c>
      <c r="B34" s="328" t="s">
        <v>891</v>
      </c>
      <c r="C34" s="9"/>
      <c r="D34" s="886"/>
      <c r="E34" s="887"/>
      <c r="F34" s="887"/>
      <c r="G34" s="887"/>
      <c r="H34" s="887"/>
      <c r="I34" s="887"/>
      <c r="J34" s="887"/>
      <c r="K34" s="887"/>
      <c r="L34" s="887"/>
      <c r="M34" s="887"/>
      <c r="N34" s="887"/>
      <c r="O34" s="887"/>
      <c r="P34" s="887"/>
      <c r="Q34" s="887"/>
      <c r="R34" s="888"/>
      <c r="S34" s="9"/>
      <c r="T34" s="9"/>
      <c r="U34" s="9"/>
      <c r="V34" s="9"/>
    </row>
    <row r="35" spans="1:22" ht="12.75">
      <c r="A35" s="19">
        <v>23</v>
      </c>
      <c r="B35" s="328" t="s">
        <v>892</v>
      </c>
      <c r="C35" s="9"/>
      <c r="D35" s="886"/>
      <c r="E35" s="887"/>
      <c r="F35" s="887"/>
      <c r="G35" s="887"/>
      <c r="H35" s="887"/>
      <c r="I35" s="887"/>
      <c r="J35" s="887"/>
      <c r="K35" s="887"/>
      <c r="L35" s="887"/>
      <c r="M35" s="887"/>
      <c r="N35" s="887"/>
      <c r="O35" s="887"/>
      <c r="P35" s="887"/>
      <c r="Q35" s="887"/>
      <c r="R35" s="888"/>
      <c r="S35" s="9"/>
      <c r="T35" s="9"/>
      <c r="U35" s="9"/>
      <c r="V35" s="9"/>
    </row>
    <row r="36" spans="1:22" ht="12.75">
      <c r="A36" s="19">
        <v>24</v>
      </c>
      <c r="B36" s="328" t="s">
        <v>893</v>
      </c>
      <c r="C36" s="9"/>
      <c r="D36" s="886"/>
      <c r="E36" s="887"/>
      <c r="F36" s="887"/>
      <c r="G36" s="887"/>
      <c r="H36" s="887"/>
      <c r="I36" s="887"/>
      <c r="J36" s="887"/>
      <c r="K36" s="887"/>
      <c r="L36" s="887"/>
      <c r="M36" s="887"/>
      <c r="N36" s="887"/>
      <c r="O36" s="887"/>
      <c r="P36" s="887"/>
      <c r="Q36" s="887"/>
      <c r="R36" s="888"/>
      <c r="S36" s="9"/>
      <c r="T36" s="9"/>
      <c r="U36" s="9"/>
      <c r="V36" s="9"/>
    </row>
    <row r="37" spans="1:22" ht="12.75">
      <c r="A37" s="19">
        <v>25</v>
      </c>
      <c r="B37" s="328" t="s">
        <v>894</v>
      </c>
      <c r="C37" s="9"/>
      <c r="D37" s="886"/>
      <c r="E37" s="887"/>
      <c r="F37" s="887"/>
      <c r="G37" s="887"/>
      <c r="H37" s="887"/>
      <c r="I37" s="887"/>
      <c r="J37" s="887"/>
      <c r="K37" s="887"/>
      <c r="L37" s="887"/>
      <c r="M37" s="887"/>
      <c r="N37" s="887"/>
      <c r="O37" s="887"/>
      <c r="P37" s="887"/>
      <c r="Q37" s="887"/>
      <c r="R37" s="888"/>
      <c r="S37" s="9"/>
      <c r="T37" s="9"/>
      <c r="U37" s="9"/>
      <c r="V37" s="9"/>
    </row>
    <row r="38" spans="1:22" ht="12.75">
      <c r="A38" s="19">
        <v>26</v>
      </c>
      <c r="B38" s="328" t="s">
        <v>895</v>
      </c>
      <c r="C38" s="9"/>
      <c r="D38" s="886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7"/>
      <c r="P38" s="887"/>
      <c r="Q38" s="887"/>
      <c r="R38" s="888"/>
      <c r="S38" s="9"/>
      <c r="T38" s="9"/>
      <c r="U38" s="9"/>
      <c r="V38" s="9"/>
    </row>
    <row r="39" spans="1:22" ht="12.75">
      <c r="A39" s="19">
        <v>27</v>
      </c>
      <c r="B39" s="328" t="s">
        <v>896</v>
      </c>
      <c r="C39" s="9"/>
      <c r="D39" s="886"/>
      <c r="E39" s="887"/>
      <c r="F39" s="887"/>
      <c r="G39" s="887"/>
      <c r="H39" s="887"/>
      <c r="I39" s="887"/>
      <c r="J39" s="887"/>
      <c r="K39" s="887"/>
      <c r="L39" s="887"/>
      <c r="M39" s="887"/>
      <c r="N39" s="887"/>
      <c r="O39" s="887"/>
      <c r="P39" s="887"/>
      <c r="Q39" s="887"/>
      <c r="R39" s="888"/>
      <c r="S39" s="9"/>
      <c r="T39" s="9"/>
      <c r="U39" s="9"/>
      <c r="V39" s="9"/>
    </row>
    <row r="40" spans="1:22" ht="12.75">
      <c r="A40" s="19">
        <v>28</v>
      </c>
      <c r="B40" s="328" t="s">
        <v>897</v>
      </c>
      <c r="C40" s="9"/>
      <c r="D40" s="886"/>
      <c r="E40" s="887"/>
      <c r="F40" s="887"/>
      <c r="G40" s="887"/>
      <c r="H40" s="887"/>
      <c r="I40" s="887"/>
      <c r="J40" s="887"/>
      <c r="K40" s="887"/>
      <c r="L40" s="887"/>
      <c r="M40" s="887"/>
      <c r="N40" s="887"/>
      <c r="O40" s="887"/>
      <c r="P40" s="887"/>
      <c r="Q40" s="887"/>
      <c r="R40" s="888"/>
      <c r="S40" s="9"/>
      <c r="T40" s="9"/>
      <c r="U40" s="9"/>
      <c r="V40" s="9"/>
    </row>
    <row r="41" spans="1:22" ht="12.75">
      <c r="A41" s="19">
        <v>29</v>
      </c>
      <c r="B41" s="328" t="s">
        <v>898</v>
      </c>
      <c r="C41" s="9"/>
      <c r="D41" s="886"/>
      <c r="E41" s="887"/>
      <c r="F41" s="887"/>
      <c r="G41" s="887"/>
      <c r="H41" s="887"/>
      <c r="I41" s="887"/>
      <c r="J41" s="887"/>
      <c r="K41" s="887"/>
      <c r="L41" s="887"/>
      <c r="M41" s="887"/>
      <c r="N41" s="887"/>
      <c r="O41" s="887"/>
      <c r="P41" s="887"/>
      <c r="Q41" s="887"/>
      <c r="R41" s="888"/>
      <c r="S41" s="9"/>
      <c r="T41" s="9"/>
      <c r="U41" s="9"/>
      <c r="V41" s="9"/>
    </row>
    <row r="42" spans="1:22" ht="12.75">
      <c r="A42" s="19">
        <v>30</v>
      </c>
      <c r="B42" s="328" t="s">
        <v>899</v>
      </c>
      <c r="C42" s="9"/>
      <c r="D42" s="886"/>
      <c r="E42" s="887"/>
      <c r="F42" s="887"/>
      <c r="G42" s="887"/>
      <c r="H42" s="887"/>
      <c r="I42" s="887"/>
      <c r="J42" s="887"/>
      <c r="K42" s="887"/>
      <c r="L42" s="887"/>
      <c r="M42" s="887"/>
      <c r="N42" s="887"/>
      <c r="O42" s="887"/>
      <c r="P42" s="887"/>
      <c r="Q42" s="887"/>
      <c r="R42" s="888"/>
      <c r="S42" s="9"/>
      <c r="T42" s="9"/>
      <c r="U42" s="9"/>
      <c r="V42" s="9"/>
    </row>
    <row r="43" spans="1:22" ht="12.75">
      <c r="A43" s="19">
        <v>31</v>
      </c>
      <c r="B43" s="328" t="s">
        <v>900</v>
      </c>
      <c r="C43" s="9"/>
      <c r="D43" s="889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1"/>
      <c r="S43" s="9"/>
      <c r="T43" s="9"/>
      <c r="U43" s="9"/>
      <c r="V43" s="9"/>
    </row>
    <row r="44" spans="1:22" ht="12.75">
      <c r="A44" s="19">
        <v>32</v>
      </c>
      <c r="B44" s="328" t="s">
        <v>901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12.75">
      <c r="A45" s="19">
        <v>33</v>
      </c>
      <c r="B45" s="328" t="s">
        <v>902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12.75">
      <c r="A46" s="19">
        <v>34</v>
      </c>
      <c r="B46" s="328" t="s">
        <v>903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12.75">
      <c r="A47" s="19">
        <v>35</v>
      </c>
      <c r="B47" s="328" t="s">
        <v>904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2.75">
      <c r="A48" s="30" t="s">
        <v>19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52" spans="3:22" ht="12.75" customHeight="1">
      <c r="C52" s="748" t="s">
        <v>1021</v>
      </c>
      <c r="D52" s="748"/>
      <c r="E52" s="748"/>
      <c r="F52" s="748"/>
      <c r="R52" s="748" t="s">
        <v>1024</v>
      </c>
      <c r="S52" s="748"/>
      <c r="T52" s="748"/>
      <c r="U52" s="748"/>
      <c r="V52" s="748"/>
    </row>
    <row r="53" spans="1:22" ht="12.75" customHeight="1">
      <c r="A53" s="15" t="s">
        <v>12</v>
      </c>
      <c r="B53" s="15"/>
      <c r="C53" s="748" t="s">
        <v>1022</v>
      </c>
      <c r="D53" s="748"/>
      <c r="E53" s="748"/>
      <c r="F53" s="748"/>
      <c r="I53" s="15"/>
      <c r="J53" s="15"/>
      <c r="K53" s="15"/>
      <c r="L53" s="15"/>
      <c r="M53" s="15"/>
      <c r="N53" s="16"/>
      <c r="O53" s="16"/>
      <c r="P53" s="827"/>
      <c r="Q53" s="827"/>
      <c r="R53" s="748" t="s">
        <v>1025</v>
      </c>
      <c r="S53" s="748"/>
      <c r="T53" s="748"/>
      <c r="U53" s="748"/>
      <c r="V53" s="748"/>
    </row>
    <row r="54" spans="1:22" ht="12.75">
      <c r="A54" s="83"/>
      <c r="B54" s="83"/>
      <c r="C54" s="735" t="s">
        <v>1023</v>
      </c>
      <c r="D54" s="735"/>
      <c r="E54" s="735"/>
      <c r="F54" s="735"/>
      <c r="I54" s="83"/>
      <c r="J54" s="83"/>
      <c r="K54" s="83"/>
      <c r="L54" s="83"/>
      <c r="M54" s="83"/>
      <c r="N54" s="83"/>
      <c r="O54" s="83"/>
      <c r="P54" s="83"/>
      <c r="Q54" s="83"/>
      <c r="R54" s="735" t="s">
        <v>1023</v>
      </c>
      <c r="S54" s="735"/>
      <c r="T54" s="735"/>
      <c r="U54" s="735"/>
      <c r="V54" s="735"/>
    </row>
    <row r="55" spans="1:17" ht="12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5:17" ht="12.75">
      <c r="O56" s="36"/>
      <c r="P56" s="36"/>
      <c r="Q56" s="36"/>
    </row>
  </sheetData>
  <sheetProtection/>
  <mergeCells count="27">
    <mergeCell ref="H10:J10"/>
    <mergeCell ref="Q1:S1"/>
    <mergeCell ref="A3:Q3"/>
    <mergeCell ref="A4:P4"/>
    <mergeCell ref="A5:Q5"/>
    <mergeCell ref="A7:S7"/>
    <mergeCell ref="P8:S8"/>
    <mergeCell ref="P9:S9"/>
    <mergeCell ref="K10:M10"/>
    <mergeCell ref="N10:P10"/>
    <mergeCell ref="Q10:S10"/>
    <mergeCell ref="R52:V52"/>
    <mergeCell ref="A10:A11"/>
    <mergeCell ref="B10:B11"/>
    <mergeCell ref="C10:C11"/>
    <mergeCell ref="D10:D11"/>
    <mergeCell ref="E10:G10"/>
    <mergeCell ref="R53:V53"/>
    <mergeCell ref="R54:V54"/>
    <mergeCell ref="C52:F52"/>
    <mergeCell ref="C53:F53"/>
    <mergeCell ref="C54:F54"/>
    <mergeCell ref="U10:U11"/>
    <mergeCell ref="T10:T11"/>
    <mergeCell ref="V10:V11"/>
    <mergeCell ref="P53:Q53"/>
    <mergeCell ref="D13:R43"/>
  </mergeCells>
  <printOptions horizontalCentered="1"/>
  <pageMargins left="0.7086614173228347" right="0.7086614173228347" top="0.2362204724409449" bottom="0" header="0.24" footer="0.31496062992125984"/>
  <pageSetup fitToHeight="1" fitToWidth="1" horizontalDpi="600" verticalDpi="600" orientation="landscape" paperSize="9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zoomScaleSheetLayoutView="86" workbookViewId="0" topLeftCell="A31">
      <selection activeCell="C51" sqref="C51:H53"/>
    </sheetView>
  </sheetViews>
  <sheetFormatPr defaultColWidth="9.140625" defaultRowHeight="12.75"/>
  <cols>
    <col min="1" max="1" width="9.140625" style="16" customWidth="1"/>
    <col min="2" max="2" width="17.140625" style="16" customWidth="1"/>
    <col min="3" max="3" width="16.57421875" style="16" customWidth="1"/>
    <col min="4" max="4" width="15.8515625" style="16" customWidth="1"/>
    <col min="5" max="5" width="18.8515625" style="16" customWidth="1"/>
    <col min="6" max="6" width="19.00390625" style="16" customWidth="1"/>
    <col min="7" max="7" width="22.57421875" style="16" customWidth="1"/>
    <col min="8" max="8" width="16.7109375" style="16" customWidth="1"/>
    <col min="9" max="9" width="30.140625" style="16" customWidth="1"/>
    <col min="10" max="15" width="0" style="16" hidden="1" customWidth="1"/>
    <col min="16" max="16384" width="9.140625" style="16" customWidth="1"/>
  </cols>
  <sheetData>
    <row r="1" spans="6:10" ht="15">
      <c r="F1" s="16"/>
      <c r="I1" s="41" t="s">
        <v>66</v>
      </c>
      <c r="J1" s="43"/>
    </row>
    <row r="2" spans="4:10" ht="15">
      <c r="D2" s="45" t="s">
        <v>0</v>
      </c>
      <c r="E2" s="45"/>
      <c r="F2" s="45"/>
      <c r="G2" s="45"/>
      <c r="H2" s="45"/>
      <c r="I2" s="45"/>
      <c r="J2" s="45"/>
    </row>
    <row r="3" spans="2:10" ht="20.25">
      <c r="B3" s="733" t="s">
        <v>656</v>
      </c>
      <c r="C3" s="733"/>
      <c r="D3" s="733"/>
      <c r="E3" s="733"/>
      <c r="F3" s="733"/>
      <c r="G3" s="733"/>
      <c r="H3" s="123"/>
      <c r="I3" s="123"/>
      <c r="J3" s="44"/>
    </row>
    <row r="4" ht="10.5" customHeight="1">
      <c r="F4" s="16"/>
    </row>
    <row r="5" spans="1:9" ht="30.75" customHeight="1">
      <c r="A5" s="899" t="s">
        <v>684</v>
      </c>
      <c r="B5" s="899"/>
      <c r="C5" s="899"/>
      <c r="D5" s="899"/>
      <c r="E5" s="899"/>
      <c r="F5" s="899"/>
      <c r="G5" s="899"/>
      <c r="H5" s="899"/>
      <c r="I5" s="899"/>
    </row>
    <row r="7" ht="0.75" customHeight="1"/>
    <row r="8" spans="1:9" ht="12.75">
      <c r="A8" s="15" t="s">
        <v>1020</v>
      </c>
      <c r="I8" s="33" t="s">
        <v>23</v>
      </c>
    </row>
    <row r="9" spans="4:22" ht="12.75">
      <c r="D9" s="804" t="s">
        <v>822</v>
      </c>
      <c r="E9" s="804"/>
      <c r="F9" s="804"/>
      <c r="G9" s="804"/>
      <c r="H9" s="804"/>
      <c r="I9" s="804"/>
      <c r="U9" s="20"/>
      <c r="V9" s="22"/>
    </row>
    <row r="10" spans="1:9" ht="44.25" customHeight="1">
      <c r="A10" s="5" t="s">
        <v>2</v>
      </c>
      <c r="B10" s="5" t="s">
        <v>3</v>
      </c>
      <c r="C10" s="2" t="s">
        <v>683</v>
      </c>
      <c r="D10" s="2" t="s">
        <v>685</v>
      </c>
      <c r="E10" s="2" t="s">
        <v>116</v>
      </c>
      <c r="F10" s="18" t="s">
        <v>230</v>
      </c>
      <c r="G10" s="2" t="s">
        <v>450</v>
      </c>
      <c r="H10" s="2" t="s">
        <v>157</v>
      </c>
      <c r="I10" s="34" t="s">
        <v>829</v>
      </c>
    </row>
    <row r="11" spans="1:9" s="110" customFormat="1" ht="15.75" customHeight="1">
      <c r="A11" s="67">
        <v>1</v>
      </c>
      <c r="B11" s="66">
        <v>2</v>
      </c>
      <c r="C11" s="67">
        <v>3</v>
      </c>
      <c r="D11" s="66">
        <v>4</v>
      </c>
      <c r="E11" s="67">
        <v>5</v>
      </c>
      <c r="F11" s="574">
        <v>6</v>
      </c>
      <c r="G11" s="67">
        <v>7</v>
      </c>
      <c r="H11" s="66">
        <v>8</v>
      </c>
      <c r="I11" s="67">
        <v>9</v>
      </c>
    </row>
    <row r="12" spans="1:15" ht="12.75">
      <c r="A12" s="19">
        <v>1</v>
      </c>
      <c r="B12" s="328" t="s">
        <v>870</v>
      </c>
      <c r="C12" s="325">
        <v>84.57879022606487</v>
      </c>
      <c r="D12" s="325">
        <f>L12*J12/100</f>
        <v>-25.174839780436386</v>
      </c>
      <c r="E12" s="325">
        <v>84.57879022606487</v>
      </c>
      <c r="F12" s="325">
        <f>M12*J12/100</f>
        <v>45.3751349102314</v>
      </c>
      <c r="G12" s="900" t="s">
        <v>1019</v>
      </c>
      <c r="H12" s="325">
        <f>N12*J12/100</f>
        <v>93.06019282560068</v>
      </c>
      <c r="I12" s="325">
        <f>O12*J12/100</f>
        <v>33.65624237997219</v>
      </c>
      <c r="J12" s="16">
        <f>C12/K12*100</f>
        <v>4.612466064572442</v>
      </c>
      <c r="K12" s="16">
        <v>1833.7</v>
      </c>
      <c r="L12" s="16">
        <v>-545.8</v>
      </c>
      <c r="M12" s="16">
        <v>983.75</v>
      </c>
      <c r="N12" s="359">
        <v>2017.58</v>
      </c>
      <c r="O12" s="359">
        <v>729.68</v>
      </c>
    </row>
    <row r="13" spans="1:15" ht="12.75">
      <c r="A13" s="19">
        <v>2</v>
      </c>
      <c r="B13" s="328" t="s">
        <v>871</v>
      </c>
      <c r="C13" s="325">
        <v>26.061772685695953</v>
      </c>
      <c r="D13" s="325">
        <f aca="true" t="shared" si="0" ref="D13:D46">L13*J13/100</f>
        <v>-7.757275198698178</v>
      </c>
      <c r="E13" s="325">
        <v>26.061772685695953</v>
      </c>
      <c r="F13" s="325">
        <f aca="true" t="shared" si="1" ref="F13:F46">M13*J13/100</f>
        <v>13.981713955147185</v>
      </c>
      <c r="G13" s="901"/>
      <c r="H13" s="325">
        <f aca="true" t="shared" si="2" ref="H13:H46">N13*J13/100</f>
        <v>28.67519841588397</v>
      </c>
      <c r="I13" s="325">
        <f aca="true" t="shared" si="3" ref="I13:I47">O13*J13/100</f>
        <v>10.3707009288862</v>
      </c>
      <c r="J13" s="16">
        <f aca="true" t="shared" si="4" ref="J13:J47">C13/K13*100</f>
        <v>1.4212669840047965</v>
      </c>
      <c r="K13" s="16">
        <v>1833.7</v>
      </c>
      <c r="L13" s="16">
        <v>-545.8</v>
      </c>
      <c r="M13" s="16">
        <v>983.75</v>
      </c>
      <c r="N13" s="359">
        <v>2017.58</v>
      </c>
      <c r="O13" s="359">
        <v>729.68</v>
      </c>
    </row>
    <row r="14" spans="1:15" ht="12" customHeight="1">
      <c r="A14" s="19">
        <v>3</v>
      </c>
      <c r="B14" s="328" t="s">
        <v>872</v>
      </c>
      <c r="C14" s="325">
        <v>49.80985881950293</v>
      </c>
      <c r="D14" s="325">
        <f t="shared" si="0"/>
        <v>-14.82588261094219</v>
      </c>
      <c r="E14" s="325">
        <v>49.80985881950293</v>
      </c>
      <c r="F14" s="325">
        <f t="shared" si="1"/>
        <v>26.7221729910487</v>
      </c>
      <c r="G14" s="901"/>
      <c r="H14" s="325">
        <f t="shared" si="2"/>
        <v>54.804698127857726</v>
      </c>
      <c r="I14" s="325">
        <f t="shared" si="3"/>
        <v>19.82072191929699</v>
      </c>
      <c r="J14" s="16">
        <f t="shared" si="4"/>
        <v>2.716358118530999</v>
      </c>
      <c r="K14" s="16">
        <v>1833.7</v>
      </c>
      <c r="L14" s="16">
        <v>-545.8</v>
      </c>
      <c r="M14" s="16">
        <v>983.75</v>
      </c>
      <c r="N14" s="359">
        <v>2017.58</v>
      </c>
      <c r="O14" s="359">
        <v>729.68</v>
      </c>
    </row>
    <row r="15" spans="1:15" ht="12.75">
      <c r="A15" s="19">
        <v>4</v>
      </c>
      <c r="B15" s="328" t="s">
        <v>873</v>
      </c>
      <c r="C15" s="325">
        <v>78.72690684109213</v>
      </c>
      <c r="D15" s="325">
        <f t="shared" si="0"/>
        <v>-23.433029259894248</v>
      </c>
      <c r="E15" s="325">
        <v>78.72690684109213</v>
      </c>
      <c r="F15" s="325">
        <f t="shared" si="1"/>
        <v>42.235695372702395</v>
      </c>
      <c r="G15" s="901"/>
      <c r="H15" s="325">
        <f t="shared" si="2"/>
        <v>86.62149354008325</v>
      </c>
      <c r="I15" s="325">
        <f t="shared" si="3"/>
        <v>31.327615958885367</v>
      </c>
      <c r="J15" s="16">
        <f t="shared" si="4"/>
        <v>4.293336251354754</v>
      </c>
      <c r="K15" s="16">
        <v>1833.7</v>
      </c>
      <c r="L15" s="16">
        <v>-545.8</v>
      </c>
      <c r="M15" s="16">
        <v>983.75</v>
      </c>
      <c r="N15" s="359">
        <v>2017.58</v>
      </c>
      <c r="O15" s="359">
        <v>729.68</v>
      </c>
    </row>
    <row r="16" spans="1:15" ht="15.75" customHeight="1">
      <c r="A16" s="19">
        <v>5</v>
      </c>
      <c r="B16" s="328" t="s">
        <v>874</v>
      </c>
      <c r="C16" s="325">
        <v>60.269718044638104</v>
      </c>
      <c r="D16" s="325">
        <f t="shared" si="0"/>
        <v>-17.93925511739296</v>
      </c>
      <c r="E16" s="325">
        <v>60.269718044638104</v>
      </c>
      <c r="F16" s="325">
        <f t="shared" si="1"/>
        <v>32.33371605301452</v>
      </c>
      <c r="G16" s="901"/>
      <c r="H16" s="325">
        <f t="shared" si="2"/>
        <v>66.31345243633143</v>
      </c>
      <c r="I16" s="325">
        <f t="shared" si="3"/>
        <v>23.982989509086288</v>
      </c>
      <c r="J16" s="16">
        <f t="shared" si="4"/>
        <v>3.286781809709227</v>
      </c>
      <c r="K16" s="16">
        <v>1833.7</v>
      </c>
      <c r="L16" s="16">
        <v>-545.8</v>
      </c>
      <c r="M16" s="16">
        <v>983.75</v>
      </c>
      <c r="N16" s="359">
        <v>2017.58</v>
      </c>
      <c r="O16" s="359">
        <v>729.68</v>
      </c>
    </row>
    <row r="17" spans="1:15" ht="12.75" customHeight="1">
      <c r="A17" s="19">
        <v>6</v>
      </c>
      <c r="B17" s="328" t="s">
        <v>875</v>
      </c>
      <c r="C17" s="325">
        <v>21.150521273141248</v>
      </c>
      <c r="D17" s="325">
        <f t="shared" si="0"/>
        <v>-6.2954433718059075</v>
      </c>
      <c r="E17" s="325">
        <v>21.150521273141248</v>
      </c>
      <c r="F17" s="325">
        <f t="shared" si="1"/>
        <v>11.346908056090255</v>
      </c>
      <c r="G17" s="901"/>
      <c r="H17" s="325">
        <f t="shared" si="2"/>
        <v>23.27145591441584</v>
      </c>
      <c r="I17" s="325">
        <f t="shared" si="3"/>
        <v>8.416378013080497</v>
      </c>
      <c r="J17" s="16">
        <f t="shared" si="4"/>
        <v>1.1534341098948164</v>
      </c>
      <c r="K17" s="16">
        <v>1833.7</v>
      </c>
      <c r="L17" s="16">
        <v>-545.8</v>
      </c>
      <c r="M17" s="16">
        <v>983.75</v>
      </c>
      <c r="N17" s="359">
        <v>2017.58</v>
      </c>
      <c r="O17" s="359">
        <v>729.68</v>
      </c>
    </row>
    <row r="18" spans="1:15" ht="12.75" customHeight="1">
      <c r="A18" s="19">
        <v>7</v>
      </c>
      <c r="B18" s="328" t="s">
        <v>876</v>
      </c>
      <c r="C18" s="325">
        <v>50.12780262639521</v>
      </c>
      <c r="D18" s="325">
        <f t="shared" si="0"/>
        <v>-14.920518445485358</v>
      </c>
      <c r="E18" s="325">
        <v>50.12780262639521</v>
      </c>
      <c r="F18" s="325">
        <f t="shared" si="1"/>
        <v>26.892744633100445</v>
      </c>
      <c r="G18" s="901"/>
      <c r="H18" s="325">
        <f t="shared" si="2"/>
        <v>55.15452474393982</v>
      </c>
      <c r="I18" s="325">
        <f t="shared" si="3"/>
        <v>19.94724056302997</v>
      </c>
      <c r="J18" s="16">
        <f t="shared" si="4"/>
        <v>2.733697040213514</v>
      </c>
      <c r="K18" s="16">
        <v>1833.7</v>
      </c>
      <c r="L18" s="16">
        <v>-545.8</v>
      </c>
      <c r="M18" s="16">
        <v>983.75</v>
      </c>
      <c r="N18" s="359">
        <v>2017.58</v>
      </c>
      <c r="O18" s="359">
        <v>729.68</v>
      </c>
    </row>
    <row r="19" spans="1:15" ht="12.75">
      <c r="A19" s="19">
        <v>8</v>
      </c>
      <c r="B19" s="328" t="s">
        <v>877</v>
      </c>
      <c r="C19" s="325">
        <v>30.31326585989877</v>
      </c>
      <c r="D19" s="325">
        <f t="shared" si="0"/>
        <v>-9.022730275580928</v>
      </c>
      <c r="E19" s="325">
        <v>30.31326585989877</v>
      </c>
      <c r="F19" s="325">
        <f t="shared" si="1"/>
        <v>16.26257037120326</v>
      </c>
      <c r="G19" s="901"/>
      <c r="H19" s="325">
        <f t="shared" si="2"/>
        <v>33.35302335911794</v>
      </c>
      <c r="I19" s="325">
        <f t="shared" si="3"/>
        <v>12.062487774800095</v>
      </c>
      <c r="J19" s="16">
        <f t="shared" si="4"/>
        <v>1.6531202410371801</v>
      </c>
      <c r="K19" s="16">
        <v>1833.7</v>
      </c>
      <c r="L19" s="16">
        <v>-545.8</v>
      </c>
      <c r="M19" s="16">
        <v>983.75</v>
      </c>
      <c r="N19" s="359">
        <v>2017.58</v>
      </c>
      <c r="O19" s="359">
        <v>729.68</v>
      </c>
    </row>
    <row r="20" spans="1:15" ht="12.75">
      <c r="A20" s="19">
        <v>9</v>
      </c>
      <c r="B20" s="328" t="s">
        <v>878</v>
      </c>
      <c r="C20" s="325">
        <v>42.38808052800497</v>
      </c>
      <c r="D20" s="325">
        <f t="shared" si="0"/>
        <v>-12.616793560661563</v>
      </c>
      <c r="E20" s="325">
        <v>42.38808052800497</v>
      </c>
      <c r="F20" s="325">
        <f t="shared" si="1"/>
        <v>22.74051056302824</v>
      </c>
      <c r="G20" s="901"/>
      <c r="H20" s="325">
        <f t="shared" si="2"/>
        <v>46.63867781626888</v>
      </c>
      <c r="I20" s="325">
        <f t="shared" si="3"/>
        <v>16.867390848925485</v>
      </c>
      <c r="J20" s="16">
        <f t="shared" si="4"/>
        <v>2.311614796750012</v>
      </c>
      <c r="K20" s="16">
        <v>1833.7</v>
      </c>
      <c r="L20" s="16">
        <v>-545.8</v>
      </c>
      <c r="M20" s="16">
        <v>983.75</v>
      </c>
      <c r="N20" s="359">
        <v>2017.58</v>
      </c>
      <c r="O20" s="359">
        <v>729.68</v>
      </c>
    </row>
    <row r="21" spans="1:15" ht="12.75">
      <c r="A21" s="19">
        <v>10</v>
      </c>
      <c r="B21" s="328" t="s">
        <v>879</v>
      </c>
      <c r="C21" s="325">
        <v>16.505203839879346</v>
      </c>
      <c r="D21" s="325">
        <f t="shared" si="0"/>
        <v>-4.912766677104295</v>
      </c>
      <c r="E21" s="325">
        <v>16.505203839879346</v>
      </c>
      <c r="F21" s="325">
        <f t="shared" si="1"/>
        <v>8.85477137889584</v>
      </c>
      <c r="G21" s="901"/>
      <c r="H21" s="325">
        <f t="shared" si="2"/>
        <v>18.160314753375015</v>
      </c>
      <c r="I21" s="325">
        <f t="shared" si="3"/>
        <v>6.5678775905999665</v>
      </c>
      <c r="J21" s="16">
        <f t="shared" si="4"/>
        <v>0.9001038250465913</v>
      </c>
      <c r="K21" s="16">
        <v>1833.7</v>
      </c>
      <c r="L21" s="16">
        <v>-545.8</v>
      </c>
      <c r="M21" s="16">
        <v>983.75</v>
      </c>
      <c r="N21" s="359">
        <v>2017.58</v>
      </c>
      <c r="O21" s="359">
        <v>729.68</v>
      </c>
    </row>
    <row r="22" spans="1:15" ht="12.75">
      <c r="A22" s="19">
        <v>11</v>
      </c>
      <c r="B22" s="328" t="s">
        <v>880</v>
      </c>
      <c r="C22" s="325">
        <v>22.71716285636562</v>
      </c>
      <c r="D22" s="325">
        <f t="shared" si="0"/>
        <v>-6.7617535512921165</v>
      </c>
      <c r="E22" s="325">
        <v>22.71716285636562</v>
      </c>
      <c r="F22" s="325">
        <f t="shared" si="1"/>
        <v>12.187385591945072</v>
      </c>
      <c r="G22" s="901"/>
      <c r="H22" s="325">
        <f t="shared" si="2"/>
        <v>24.995197380021892</v>
      </c>
      <c r="I22" s="325">
        <f t="shared" si="3"/>
        <v>9.03978807494839</v>
      </c>
      <c r="J22" s="16">
        <f t="shared" si="4"/>
        <v>1.2388701999435905</v>
      </c>
      <c r="K22" s="16">
        <v>1833.7</v>
      </c>
      <c r="L22" s="16">
        <v>-545.8</v>
      </c>
      <c r="M22" s="16">
        <v>983.75</v>
      </c>
      <c r="N22" s="359">
        <v>2017.58</v>
      </c>
      <c r="O22" s="359">
        <v>729.68</v>
      </c>
    </row>
    <row r="23" spans="1:15" ht="12.75">
      <c r="A23" s="19">
        <v>12</v>
      </c>
      <c r="B23" s="328" t="s">
        <v>881</v>
      </c>
      <c r="C23" s="325">
        <v>21.27384411096428</v>
      </c>
      <c r="D23" s="325">
        <f t="shared" si="0"/>
        <v>-6.332150360344823</v>
      </c>
      <c r="E23" s="325">
        <v>21.27384411096428</v>
      </c>
      <c r="F23" s="325">
        <f t="shared" si="1"/>
        <v>11.413068737613083</v>
      </c>
      <c r="G23" s="901"/>
      <c r="H23" s="325">
        <f t="shared" si="2"/>
        <v>23.407145335332558</v>
      </c>
      <c r="I23" s="325">
        <f t="shared" si="3"/>
        <v>8.4654515847131</v>
      </c>
      <c r="J23" s="16">
        <f t="shared" si="4"/>
        <v>1.1601594650686742</v>
      </c>
      <c r="K23" s="16">
        <v>1833.7</v>
      </c>
      <c r="L23" s="16">
        <v>-545.8</v>
      </c>
      <c r="M23" s="16">
        <v>983.75</v>
      </c>
      <c r="N23" s="359">
        <v>2017.58</v>
      </c>
      <c r="O23" s="359">
        <v>729.68</v>
      </c>
    </row>
    <row r="24" spans="1:15" ht="12.75">
      <c r="A24" s="19">
        <v>13</v>
      </c>
      <c r="B24" s="328" t="s">
        <v>882</v>
      </c>
      <c r="C24" s="325">
        <v>74.99741324026068</v>
      </c>
      <c r="D24" s="325">
        <f t="shared" si="0"/>
        <v>-22.32294712686605</v>
      </c>
      <c r="E24" s="325">
        <v>74.99741324026068</v>
      </c>
      <c r="F24" s="325">
        <f t="shared" si="1"/>
        <v>40.23488317342338</v>
      </c>
      <c r="G24" s="901"/>
      <c r="H24" s="325">
        <f t="shared" si="2"/>
        <v>82.51801330931184</v>
      </c>
      <c r="I24" s="325">
        <f t="shared" si="3"/>
        <v>29.84354719591722</v>
      </c>
      <c r="J24" s="16">
        <f t="shared" si="4"/>
        <v>4.089950004922326</v>
      </c>
      <c r="K24" s="16">
        <v>1833.7</v>
      </c>
      <c r="L24" s="16">
        <v>-545.8</v>
      </c>
      <c r="M24" s="16">
        <v>983.75</v>
      </c>
      <c r="N24" s="359">
        <v>2017.58</v>
      </c>
      <c r="O24" s="359">
        <v>729.68</v>
      </c>
    </row>
    <row r="25" spans="1:15" ht="12.75">
      <c r="A25" s="19">
        <v>14</v>
      </c>
      <c r="B25" s="328" t="s">
        <v>883</v>
      </c>
      <c r="C25" s="325">
        <v>41.79597731623301</v>
      </c>
      <c r="D25" s="325">
        <f t="shared" si="0"/>
        <v>-12.440554299612788</v>
      </c>
      <c r="E25" s="325">
        <v>41.79597731623301</v>
      </c>
      <c r="F25" s="325">
        <f t="shared" si="1"/>
        <v>22.422856893081867</v>
      </c>
      <c r="G25" s="901"/>
      <c r="H25" s="325">
        <f t="shared" si="2"/>
        <v>45.98719960390761</v>
      </c>
      <c r="I25" s="325">
        <f t="shared" si="3"/>
        <v>16.631776587287394</v>
      </c>
      <c r="J25" s="16">
        <f t="shared" si="4"/>
        <v>2.279324715942248</v>
      </c>
      <c r="K25" s="16">
        <v>1833.7</v>
      </c>
      <c r="L25" s="16">
        <v>-545.8</v>
      </c>
      <c r="M25" s="16">
        <v>983.75</v>
      </c>
      <c r="N25" s="359">
        <v>2017.58</v>
      </c>
      <c r="O25" s="359">
        <v>729.68</v>
      </c>
    </row>
    <row r="26" spans="1:15" ht="12.75">
      <c r="A26" s="19">
        <v>15</v>
      </c>
      <c r="B26" s="328" t="s">
        <v>884</v>
      </c>
      <c r="C26" s="325">
        <v>69.35506026407734</v>
      </c>
      <c r="D26" s="325">
        <f t="shared" si="0"/>
        <v>-20.643503240515575</v>
      </c>
      <c r="E26" s="325">
        <v>69.35506026407734</v>
      </c>
      <c r="F26" s="325">
        <f t="shared" si="1"/>
        <v>37.207853266502745</v>
      </c>
      <c r="G26" s="901"/>
      <c r="H26" s="325">
        <f t="shared" si="2"/>
        <v>76.30985574935767</v>
      </c>
      <c r="I26" s="325">
        <f t="shared" si="3"/>
        <v>27.598298725795903</v>
      </c>
      <c r="J26" s="16">
        <f t="shared" si="4"/>
        <v>3.7822468377639384</v>
      </c>
      <c r="K26" s="16">
        <v>1833.7</v>
      </c>
      <c r="L26" s="16">
        <v>-545.8</v>
      </c>
      <c r="M26" s="16">
        <v>983.75</v>
      </c>
      <c r="N26" s="359">
        <v>2017.58</v>
      </c>
      <c r="O26" s="359">
        <v>729.68</v>
      </c>
    </row>
    <row r="27" spans="1:15" ht="12.75">
      <c r="A27" s="19">
        <v>16</v>
      </c>
      <c r="B27" s="328" t="s">
        <v>885</v>
      </c>
      <c r="C27" s="325">
        <v>50.68114355919826</v>
      </c>
      <c r="D27" s="325">
        <f t="shared" si="0"/>
        <v>-15.085220131215799</v>
      </c>
      <c r="E27" s="325">
        <v>50.68114355919826</v>
      </c>
      <c r="F27" s="325">
        <f t="shared" si="1"/>
        <v>27.189602975601947</v>
      </c>
      <c r="G27" s="901"/>
      <c r="H27" s="325">
        <f t="shared" si="2"/>
        <v>55.76335366863022</v>
      </c>
      <c r="I27" s="325">
        <f t="shared" si="3"/>
        <v>20.167430240647754</v>
      </c>
      <c r="J27" s="16">
        <f t="shared" si="4"/>
        <v>2.763873237672371</v>
      </c>
      <c r="K27" s="16">
        <v>1833.7</v>
      </c>
      <c r="L27" s="16">
        <v>-545.8</v>
      </c>
      <c r="M27" s="16">
        <v>983.75</v>
      </c>
      <c r="N27" s="359">
        <v>2017.58</v>
      </c>
      <c r="O27" s="359">
        <v>729.68</v>
      </c>
    </row>
    <row r="28" spans="1:15" ht="12.75">
      <c r="A28" s="19">
        <v>17</v>
      </c>
      <c r="B28" s="328" t="s">
        <v>886</v>
      </c>
      <c r="C28" s="325">
        <v>110.85641396585468</v>
      </c>
      <c r="D28" s="325">
        <f t="shared" si="0"/>
        <v>-32.99636295062632</v>
      </c>
      <c r="E28" s="325">
        <v>110.85641396585468</v>
      </c>
      <c r="F28" s="325">
        <f t="shared" si="1"/>
        <v>59.47264941861239</v>
      </c>
      <c r="G28" s="901"/>
      <c r="H28" s="325">
        <f t="shared" si="2"/>
        <v>121.97288743481981</v>
      </c>
      <c r="I28" s="325">
        <f t="shared" si="3"/>
        <v>44.112836419591446</v>
      </c>
      <c r="J28" s="16">
        <f t="shared" si="4"/>
        <v>6.045504388168985</v>
      </c>
      <c r="K28" s="16">
        <v>1833.7</v>
      </c>
      <c r="L28" s="16">
        <v>-545.8</v>
      </c>
      <c r="M28" s="16">
        <v>983.75</v>
      </c>
      <c r="N28" s="359">
        <v>2017.58</v>
      </c>
      <c r="O28" s="359">
        <v>729.68</v>
      </c>
    </row>
    <row r="29" spans="1:15" ht="12.75">
      <c r="A29" s="19">
        <v>18</v>
      </c>
      <c r="B29" s="328" t="s">
        <v>887</v>
      </c>
      <c r="C29" s="325">
        <v>62.93158630391796</v>
      </c>
      <c r="D29" s="325">
        <f t="shared" si="0"/>
        <v>-18.731559036199172</v>
      </c>
      <c r="E29" s="325">
        <v>62.93158630391796</v>
      </c>
      <c r="F29" s="325">
        <f t="shared" si="1"/>
        <v>33.76176475240187</v>
      </c>
      <c r="G29" s="901"/>
      <c r="H29" s="325">
        <f t="shared" si="2"/>
        <v>69.24224785682435</v>
      </c>
      <c r="I29" s="325">
        <f t="shared" si="3"/>
        <v>25.042220589105554</v>
      </c>
      <c r="J29" s="16">
        <f t="shared" si="4"/>
        <v>3.431945591095488</v>
      </c>
      <c r="K29" s="16">
        <v>1833.7</v>
      </c>
      <c r="L29" s="16">
        <v>-545.8</v>
      </c>
      <c r="M29" s="16">
        <v>983.75</v>
      </c>
      <c r="N29" s="359">
        <v>2017.58</v>
      </c>
      <c r="O29" s="359">
        <v>729.68</v>
      </c>
    </row>
    <row r="30" spans="1:15" ht="12.75">
      <c r="A30" s="19">
        <v>19</v>
      </c>
      <c r="B30" s="328" t="s">
        <v>888</v>
      </c>
      <c r="C30" s="325">
        <v>65.62647142183587</v>
      </c>
      <c r="D30" s="325">
        <f t="shared" si="0"/>
        <v>-19.533690408484492</v>
      </c>
      <c r="E30" s="325">
        <v>65.62647142183587</v>
      </c>
      <c r="F30" s="325">
        <f t="shared" si="1"/>
        <v>35.207526455380396</v>
      </c>
      <c r="G30" s="901"/>
      <c r="H30" s="325">
        <f t="shared" si="2"/>
        <v>72.20737100467231</v>
      </c>
      <c r="I30" s="325">
        <f t="shared" si="3"/>
        <v>26.11458999132093</v>
      </c>
      <c r="J30" s="16">
        <f t="shared" si="4"/>
        <v>3.5789099319319337</v>
      </c>
      <c r="K30" s="16">
        <v>1833.7</v>
      </c>
      <c r="L30" s="16">
        <v>-545.8</v>
      </c>
      <c r="M30" s="16">
        <v>983.75</v>
      </c>
      <c r="N30" s="359">
        <v>2017.58</v>
      </c>
      <c r="O30" s="359">
        <v>729.68</v>
      </c>
    </row>
    <row r="31" spans="1:15" ht="12.75">
      <c r="A31" s="19">
        <v>20</v>
      </c>
      <c r="B31" s="328" t="s">
        <v>889</v>
      </c>
      <c r="C31" s="325">
        <v>29.88370695307847</v>
      </c>
      <c r="D31" s="325">
        <f t="shared" si="0"/>
        <v>-8.894872255543559</v>
      </c>
      <c r="E31" s="325">
        <v>29.88370695307847</v>
      </c>
      <c r="F31" s="325">
        <f t="shared" si="1"/>
        <v>16.032119057147266</v>
      </c>
      <c r="G31" s="901"/>
      <c r="H31" s="325">
        <f t="shared" si="2"/>
        <v>32.880389090032196</v>
      </c>
      <c r="I31" s="325">
        <f t="shared" si="3"/>
        <v>11.891554392497296</v>
      </c>
      <c r="J31" s="16">
        <f t="shared" si="4"/>
        <v>1.6296944403707512</v>
      </c>
      <c r="K31" s="16">
        <v>1833.7</v>
      </c>
      <c r="L31" s="16">
        <v>-545.8</v>
      </c>
      <c r="M31" s="16">
        <v>983.75</v>
      </c>
      <c r="N31" s="359">
        <v>2017.58</v>
      </c>
      <c r="O31" s="359">
        <v>729.68</v>
      </c>
    </row>
    <row r="32" spans="1:15" ht="12.75">
      <c r="A32" s="19">
        <v>21</v>
      </c>
      <c r="B32" s="328" t="s">
        <v>890</v>
      </c>
      <c r="C32" s="325">
        <v>117.7712674425842</v>
      </c>
      <c r="D32" s="325">
        <f t="shared" si="0"/>
        <v>-35.05456605233269</v>
      </c>
      <c r="E32" s="325">
        <v>117.7712674425842</v>
      </c>
      <c r="F32" s="325">
        <f t="shared" si="1"/>
        <v>63.18235499080668</v>
      </c>
      <c r="G32" s="901"/>
      <c r="H32" s="325">
        <f t="shared" si="2"/>
        <v>129.58114946109453</v>
      </c>
      <c r="I32" s="325">
        <f t="shared" si="3"/>
        <v>46.86444807084301</v>
      </c>
      <c r="J32" s="16">
        <f t="shared" si="4"/>
        <v>6.422602794491149</v>
      </c>
      <c r="K32" s="16">
        <v>1833.7</v>
      </c>
      <c r="L32" s="16">
        <v>-545.8</v>
      </c>
      <c r="M32" s="16">
        <v>983.75</v>
      </c>
      <c r="N32" s="359">
        <v>2017.58</v>
      </c>
      <c r="O32" s="359">
        <v>729.68</v>
      </c>
    </row>
    <row r="33" spans="1:15" ht="12.75">
      <c r="A33" s="19">
        <v>22</v>
      </c>
      <c r="B33" s="328" t="s">
        <v>891</v>
      </c>
      <c r="C33" s="325">
        <v>32.60500337256971</v>
      </c>
      <c r="D33" s="325">
        <f t="shared" si="0"/>
        <v>-9.704864940147543</v>
      </c>
      <c r="E33" s="325">
        <v>32.60500337256971</v>
      </c>
      <c r="F33" s="325">
        <f t="shared" si="1"/>
        <v>17.49204999060122</v>
      </c>
      <c r="G33" s="901"/>
      <c r="H33" s="325">
        <f t="shared" si="2"/>
        <v>35.8745720152856</v>
      </c>
      <c r="I33" s="325">
        <f t="shared" si="3"/>
        <v>12.974433582863428</v>
      </c>
      <c r="J33" s="16">
        <f t="shared" si="4"/>
        <v>1.7780991095909753</v>
      </c>
      <c r="K33" s="16">
        <v>1833.7</v>
      </c>
      <c r="L33" s="16">
        <v>-545.8</v>
      </c>
      <c r="M33" s="16">
        <v>983.75</v>
      </c>
      <c r="N33" s="359">
        <v>2017.58</v>
      </c>
      <c r="O33" s="359">
        <v>729.68</v>
      </c>
    </row>
    <row r="34" spans="1:15" ht="12.75">
      <c r="A34" s="19">
        <v>23</v>
      </c>
      <c r="B34" s="328" t="s">
        <v>892</v>
      </c>
      <c r="C34" s="325">
        <v>43.425363604782454</v>
      </c>
      <c r="D34" s="325">
        <f t="shared" si="0"/>
        <v>-12.925540413093888</v>
      </c>
      <c r="E34" s="325">
        <v>43.425363604782454</v>
      </c>
      <c r="F34" s="325">
        <f t="shared" si="1"/>
        <v>23.296995935106473</v>
      </c>
      <c r="G34" s="901"/>
      <c r="H34" s="325">
        <f t="shared" si="2"/>
        <v>47.779977696317275</v>
      </c>
      <c r="I34" s="325">
        <f t="shared" si="3"/>
        <v>17.280154504628705</v>
      </c>
      <c r="J34" s="16">
        <f t="shared" si="4"/>
        <v>2.368182560112475</v>
      </c>
      <c r="K34" s="16">
        <v>1833.7</v>
      </c>
      <c r="L34" s="16">
        <v>-545.8</v>
      </c>
      <c r="M34" s="16">
        <v>983.75</v>
      </c>
      <c r="N34" s="359">
        <v>2017.58</v>
      </c>
      <c r="O34" s="359">
        <v>729.68</v>
      </c>
    </row>
    <row r="35" spans="1:15" ht="12.75">
      <c r="A35" s="19">
        <v>24</v>
      </c>
      <c r="B35" s="328" t="s">
        <v>893</v>
      </c>
      <c r="C35" s="325">
        <v>141.66188032097054</v>
      </c>
      <c r="D35" s="325">
        <f t="shared" si="0"/>
        <v>-42.16559648753107</v>
      </c>
      <c r="E35" s="325">
        <v>141.66188032097054</v>
      </c>
      <c r="F35" s="325">
        <f t="shared" si="1"/>
        <v>75.99927728949925</v>
      </c>
      <c r="G35" s="901"/>
      <c r="H35" s="325">
        <f t="shared" si="2"/>
        <v>155.86746823252642</v>
      </c>
      <c r="I35" s="325">
        <f t="shared" si="3"/>
        <v>56.37118439908697</v>
      </c>
      <c r="J35" s="16">
        <f t="shared" si="4"/>
        <v>7.725466560559008</v>
      </c>
      <c r="K35" s="16">
        <v>1833.7</v>
      </c>
      <c r="L35" s="16">
        <v>-545.8</v>
      </c>
      <c r="M35" s="16">
        <v>983.75</v>
      </c>
      <c r="N35" s="359">
        <v>2017.58</v>
      </c>
      <c r="O35" s="359">
        <v>729.68</v>
      </c>
    </row>
    <row r="36" spans="1:15" ht="12.75">
      <c r="A36" s="19">
        <v>25</v>
      </c>
      <c r="B36" s="328" t="s">
        <v>894</v>
      </c>
      <c r="C36" s="325">
        <v>34.203960108450836</v>
      </c>
      <c r="D36" s="325">
        <f t="shared" si="0"/>
        <v>-10.180793710635582</v>
      </c>
      <c r="E36" s="325">
        <v>34.203960108450836</v>
      </c>
      <c r="F36" s="325">
        <f t="shared" si="1"/>
        <v>18.349864076287567</v>
      </c>
      <c r="G36" s="901"/>
      <c r="H36" s="325">
        <f t="shared" si="2"/>
        <v>37.633869136504465</v>
      </c>
      <c r="I36" s="325">
        <f t="shared" si="3"/>
        <v>13.610702738689211</v>
      </c>
      <c r="J36" s="16">
        <f t="shared" si="4"/>
        <v>1.8652974918716714</v>
      </c>
      <c r="K36" s="16">
        <v>1833.7</v>
      </c>
      <c r="L36" s="16">
        <v>-545.8</v>
      </c>
      <c r="M36" s="16">
        <v>983.75</v>
      </c>
      <c r="N36" s="359">
        <v>2017.58</v>
      </c>
      <c r="O36" s="359">
        <v>729.68</v>
      </c>
    </row>
    <row r="37" spans="1:15" ht="12.75">
      <c r="A37" s="19">
        <v>26</v>
      </c>
      <c r="B37" s="328" t="s">
        <v>895</v>
      </c>
      <c r="C37" s="325">
        <v>28.892713227502103</v>
      </c>
      <c r="D37" s="325">
        <f t="shared" si="0"/>
        <v>-8.59990340817508</v>
      </c>
      <c r="E37" s="325">
        <v>28.892713227502103</v>
      </c>
      <c r="F37" s="325">
        <f t="shared" si="1"/>
        <v>15.500467163415603</v>
      </c>
      <c r="G37" s="901"/>
      <c r="H37" s="325">
        <f t="shared" si="2"/>
        <v>31.790020370586078</v>
      </c>
      <c r="I37" s="325">
        <f t="shared" si="3"/>
        <v>11.497210551259057</v>
      </c>
      <c r="J37" s="16">
        <f t="shared" si="4"/>
        <v>1.575651045836402</v>
      </c>
      <c r="K37" s="16">
        <v>1833.7</v>
      </c>
      <c r="L37" s="16">
        <v>-545.8</v>
      </c>
      <c r="M37" s="16">
        <v>983.75</v>
      </c>
      <c r="N37" s="359">
        <v>2017.58</v>
      </c>
      <c r="O37" s="359">
        <v>729.68</v>
      </c>
    </row>
    <row r="38" spans="1:15" ht="12.75">
      <c r="A38" s="19">
        <v>27</v>
      </c>
      <c r="B38" s="328" t="s">
        <v>896</v>
      </c>
      <c r="C38" s="325">
        <v>53.71252183304236</v>
      </c>
      <c r="D38" s="325">
        <f t="shared" si="0"/>
        <v>-15.987508543641008</v>
      </c>
      <c r="E38" s="325">
        <v>53.71252183304236</v>
      </c>
      <c r="F38" s="325">
        <f t="shared" si="1"/>
        <v>28.81588774240902</v>
      </c>
      <c r="G38" s="901"/>
      <c r="H38" s="325">
        <f t="shared" si="2"/>
        <v>59.098712875557396</v>
      </c>
      <c r="I38" s="325">
        <f t="shared" si="3"/>
        <v>21.37369958615605</v>
      </c>
      <c r="J38" s="16">
        <f t="shared" si="4"/>
        <v>2.929188080549837</v>
      </c>
      <c r="K38" s="16">
        <v>1833.7</v>
      </c>
      <c r="L38" s="16">
        <v>-545.8</v>
      </c>
      <c r="M38" s="16">
        <v>983.75</v>
      </c>
      <c r="N38" s="359">
        <v>2017.58</v>
      </c>
      <c r="O38" s="359">
        <v>729.68</v>
      </c>
    </row>
    <row r="39" spans="1:15" ht="12.75">
      <c r="A39" s="19">
        <v>28</v>
      </c>
      <c r="B39" s="328" t="s">
        <v>897</v>
      </c>
      <c r="C39" s="325">
        <v>54.24857910161219</v>
      </c>
      <c r="D39" s="325">
        <f t="shared" si="0"/>
        <v>-16.147065754300012</v>
      </c>
      <c r="E39" s="325">
        <v>54.24857910161219</v>
      </c>
      <c r="F39" s="325">
        <f t="shared" si="1"/>
        <v>29.103473682287717</v>
      </c>
      <c r="G39" s="901"/>
      <c r="H39" s="325">
        <f t="shared" si="2"/>
        <v>59.68852496255152</v>
      </c>
      <c r="I39" s="325">
        <f t="shared" si="3"/>
        <v>21.58701161523934</v>
      </c>
      <c r="J39" s="16">
        <f t="shared" si="4"/>
        <v>2.9584217211982433</v>
      </c>
      <c r="K39" s="16">
        <v>1833.7</v>
      </c>
      <c r="L39" s="16">
        <v>-545.8</v>
      </c>
      <c r="M39" s="16">
        <v>983.75</v>
      </c>
      <c r="N39" s="359">
        <v>2017.58</v>
      </c>
      <c r="O39" s="359">
        <v>729.68</v>
      </c>
    </row>
    <row r="40" spans="1:15" ht="12.75">
      <c r="A40" s="19">
        <v>29</v>
      </c>
      <c r="B40" s="328" t="s">
        <v>898</v>
      </c>
      <c r="C40" s="325">
        <v>14.097382291468282</v>
      </c>
      <c r="D40" s="325">
        <f t="shared" si="0"/>
        <v>-4.196079650260886</v>
      </c>
      <c r="E40" s="325">
        <v>14.097382291468282</v>
      </c>
      <c r="F40" s="325">
        <f t="shared" si="1"/>
        <v>7.563014576665714</v>
      </c>
      <c r="G40" s="901"/>
      <c r="H40" s="325">
        <f t="shared" si="2"/>
        <v>15.5110413718823</v>
      </c>
      <c r="I40" s="325">
        <f t="shared" si="3"/>
        <v>5.609738730674906</v>
      </c>
      <c r="J40" s="16">
        <f t="shared" si="4"/>
        <v>0.7687943661159558</v>
      </c>
      <c r="K40" s="16">
        <v>1833.7</v>
      </c>
      <c r="L40" s="16">
        <v>-545.8</v>
      </c>
      <c r="M40" s="16">
        <v>983.75</v>
      </c>
      <c r="N40" s="359">
        <v>2017.58</v>
      </c>
      <c r="O40" s="359">
        <v>729.68</v>
      </c>
    </row>
    <row r="41" spans="1:15" ht="12.75">
      <c r="A41" s="19">
        <v>30</v>
      </c>
      <c r="B41" s="328" t="s">
        <v>899</v>
      </c>
      <c r="C41" s="325">
        <v>87.41257102153386</v>
      </c>
      <c r="D41" s="325">
        <f t="shared" si="0"/>
        <v>-26.018313390169155</v>
      </c>
      <c r="E41" s="325">
        <v>87.41257102153386</v>
      </c>
      <c r="F41" s="325">
        <f t="shared" si="1"/>
        <v>46.8954118680449</v>
      </c>
      <c r="G41" s="901"/>
      <c r="H41" s="325">
        <f t="shared" si="2"/>
        <v>96.17813984928085</v>
      </c>
      <c r="I41" s="325">
        <f t="shared" si="3"/>
        <v>34.78388221791614</v>
      </c>
      <c r="J41" s="16">
        <f t="shared" si="4"/>
        <v>4.767005018352722</v>
      </c>
      <c r="K41" s="16">
        <v>1833.7</v>
      </c>
      <c r="L41" s="16">
        <v>-545.8</v>
      </c>
      <c r="M41" s="16">
        <v>983.75</v>
      </c>
      <c r="N41" s="359">
        <v>2017.58</v>
      </c>
      <c r="O41" s="359">
        <v>729.68</v>
      </c>
    </row>
    <row r="42" spans="1:15" ht="12.75">
      <c r="A42" s="19">
        <v>31</v>
      </c>
      <c r="B42" s="328" t="s">
        <v>900</v>
      </c>
      <c r="C42" s="325">
        <v>81.28955481078411</v>
      </c>
      <c r="D42" s="325">
        <f t="shared" si="0"/>
        <v>-24.195800303062637</v>
      </c>
      <c r="E42" s="325">
        <v>81.28955481078411</v>
      </c>
      <c r="F42" s="325">
        <f t="shared" si="1"/>
        <v>43.610514012711384</v>
      </c>
      <c r="G42" s="901"/>
      <c r="H42" s="325">
        <f t="shared" si="2"/>
        <v>89.44111904626808</v>
      </c>
      <c r="I42" s="325">
        <f t="shared" si="3"/>
        <v>32.34736453854662</v>
      </c>
      <c r="J42" s="16">
        <f t="shared" si="4"/>
        <v>4.433089099132034</v>
      </c>
      <c r="K42" s="16">
        <v>1833.7</v>
      </c>
      <c r="L42" s="16">
        <v>-545.8</v>
      </c>
      <c r="M42" s="16">
        <v>983.75</v>
      </c>
      <c r="N42" s="359">
        <v>2017.58</v>
      </c>
      <c r="O42" s="359">
        <v>729.68</v>
      </c>
    </row>
    <row r="43" spans="1:15" ht="12.75">
      <c r="A43" s="19">
        <v>32</v>
      </c>
      <c r="B43" s="328" t="s">
        <v>901</v>
      </c>
      <c r="C43" s="325">
        <v>43.549394912556096</v>
      </c>
      <c r="D43" s="325">
        <f t="shared" si="0"/>
        <v>-12.962458277402582</v>
      </c>
      <c r="E43" s="325">
        <v>43.549394912556096</v>
      </c>
      <c r="F43" s="325">
        <f t="shared" si="1"/>
        <v>23.36353669914766</v>
      </c>
      <c r="G43" s="901"/>
      <c r="H43" s="325">
        <f t="shared" si="2"/>
        <v>47.91644663122371</v>
      </c>
      <c r="I43" s="325">
        <f t="shared" si="3"/>
        <v>17.3295099960702</v>
      </c>
      <c r="J43" s="16">
        <f t="shared" si="4"/>
        <v>2.374946551374603</v>
      </c>
      <c r="K43" s="16">
        <v>1833.7</v>
      </c>
      <c r="L43" s="16">
        <v>-545.8</v>
      </c>
      <c r="M43" s="16">
        <v>983.75</v>
      </c>
      <c r="N43" s="359">
        <v>2017.58</v>
      </c>
      <c r="O43" s="359">
        <v>729.68</v>
      </c>
    </row>
    <row r="44" spans="1:15" ht="12.75">
      <c r="A44" s="19">
        <v>33</v>
      </c>
      <c r="B44" s="328" t="s">
        <v>902</v>
      </c>
      <c r="C44" s="325">
        <v>18.698031797872602</v>
      </c>
      <c r="D44" s="325">
        <f t="shared" si="0"/>
        <v>-5.565460956142698</v>
      </c>
      <c r="E44" s="325">
        <v>18.698031797872602</v>
      </c>
      <c r="F44" s="325">
        <f t="shared" si="1"/>
        <v>10.031187643102564</v>
      </c>
      <c r="G44" s="901"/>
      <c r="H44" s="325">
        <f t="shared" si="2"/>
        <v>20.573035390059335</v>
      </c>
      <c r="I44" s="325">
        <f t="shared" si="3"/>
        <v>7.440464548329433</v>
      </c>
      <c r="J44" s="16">
        <f t="shared" si="4"/>
        <v>1.019688705779168</v>
      </c>
      <c r="K44" s="16">
        <v>1833.7</v>
      </c>
      <c r="L44" s="16">
        <v>-545.8</v>
      </c>
      <c r="M44" s="16">
        <v>983.75</v>
      </c>
      <c r="N44" s="359">
        <v>2017.58</v>
      </c>
      <c r="O44" s="359">
        <v>729.68</v>
      </c>
    </row>
    <row r="45" spans="1:15" ht="12.75">
      <c r="A45" s="19">
        <v>34</v>
      </c>
      <c r="B45" s="328" t="s">
        <v>903</v>
      </c>
      <c r="C45" s="325">
        <v>22.027292768053385</v>
      </c>
      <c r="D45" s="325">
        <f t="shared" si="0"/>
        <v>-6.556414022361094</v>
      </c>
      <c r="E45" s="325">
        <v>22.027292768053385</v>
      </c>
      <c r="F45" s="325">
        <f t="shared" si="1"/>
        <v>11.817281594902392</v>
      </c>
      <c r="G45" s="901"/>
      <c r="H45" s="325">
        <f t="shared" si="2"/>
        <v>24.236148411937148</v>
      </c>
      <c r="I45" s="325">
        <f t="shared" si="3"/>
        <v>8.765269666244857</v>
      </c>
      <c r="J45" s="16">
        <f t="shared" si="4"/>
        <v>1.2012484467499256</v>
      </c>
      <c r="K45" s="16">
        <v>1833.7</v>
      </c>
      <c r="L45" s="16">
        <v>-545.8</v>
      </c>
      <c r="M45" s="16">
        <v>983.75</v>
      </c>
      <c r="N45" s="359">
        <v>2017.58</v>
      </c>
      <c r="O45" s="359">
        <v>729.68</v>
      </c>
    </row>
    <row r="46" spans="1:15" ht="12.75">
      <c r="A46" s="19">
        <v>35</v>
      </c>
      <c r="B46" s="328" t="s">
        <v>904</v>
      </c>
      <c r="C46" s="325">
        <v>50.057752900117535</v>
      </c>
      <c r="D46" s="325">
        <f t="shared" si="0"/>
        <v>-14.899668175210856</v>
      </c>
      <c r="E46" s="325">
        <v>50.057752900117535</v>
      </c>
      <c r="F46" s="325">
        <f t="shared" si="1"/>
        <v>26.855164102901576</v>
      </c>
      <c r="G46" s="902"/>
      <c r="H46" s="325">
        <f t="shared" si="2"/>
        <v>55.077450562370686</v>
      </c>
      <c r="I46" s="325">
        <f t="shared" si="3"/>
        <v>19.919365837464014</v>
      </c>
      <c r="J46" s="16">
        <f t="shared" si="4"/>
        <v>2.7298769100789406</v>
      </c>
      <c r="K46" s="16">
        <v>1833.7</v>
      </c>
      <c r="L46" s="16">
        <v>-545.8</v>
      </c>
      <c r="M46" s="16">
        <v>983.75</v>
      </c>
      <c r="N46" s="359">
        <v>2017.58</v>
      </c>
      <c r="O46" s="359">
        <v>729.68</v>
      </c>
    </row>
    <row r="47" spans="1:15" s="15" customFormat="1" ht="12.75">
      <c r="A47" s="3"/>
      <c r="B47" s="30" t="s">
        <v>19</v>
      </c>
      <c r="C47" s="357">
        <v>1833.70397025</v>
      </c>
      <c r="D47" s="30">
        <v>-545.8</v>
      </c>
      <c r="E47" s="357">
        <v>1833.70397025</v>
      </c>
      <c r="F47" s="357">
        <v>983.75</v>
      </c>
      <c r="G47" s="30"/>
      <c r="H47" s="30">
        <v>2017.58</v>
      </c>
      <c r="I47" s="357">
        <f t="shared" si="3"/>
        <v>729.6815798724002</v>
      </c>
      <c r="J47" s="15">
        <f t="shared" si="4"/>
        <v>100.00021651578777</v>
      </c>
      <c r="K47" s="15">
        <v>1833.7</v>
      </c>
      <c r="L47" s="15">
        <v>-545.8</v>
      </c>
      <c r="M47" s="15">
        <v>983.75</v>
      </c>
      <c r="N47" s="575">
        <v>2017.58</v>
      </c>
      <c r="O47" s="575">
        <v>729.68</v>
      </c>
    </row>
    <row r="49" spans="5:9" ht="12.75">
      <c r="E49" s="31"/>
      <c r="F49" s="22"/>
      <c r="G49" s="31"/>
      <c r="H49" s="22"/>
      <c r="I49" s="22"/>
    </row>
    <row r="50" spans="4:9" ht="12.75">
      <c r="D50" s="341"/>
      <c r="E50" s="12"/>
      <c r="F50" s="569"/>
      <c r="G50" s="12"/>
      <c r="H50" s="31"/>
      <c r="I50" s="22"/>
    </row>
    <row r="51" spans="1:10" ht="12.75">
      <c r="A51" s="36" t="s">
        <v>12</v>
      </c>
      <c r="C51" s="748" t="s">
        <v>1021</v>
      </c>
      <c r="D51" s="748"/>
      <c r="E51" s="83"/>
      <c r="F51" s="83"/>
      <c r="G51" s="748" t="s">
        <v>1024</v>
      </c>
      <c r="H51" s="748"/>
      <c r="I51" s="122"/>
      <c r="J51" s="83"/>
    </row>
    <row r="52" spans="3:9" ht="12.75">
      <c r="C52" s="748" t="s">
        <v>1022</v>
      </c>
      <c r="D52" s="748"/>
      <c r="E52" s="83"/>
      <c r="F52" s="83"/>
      <c r="G52" s="748" t="s">
        <v>1025</v>
      </c>
      <c r="H52" s="748"/>
      <c r="I52" s="83"/>
    </row>
    <row r="53" spans="3:9" ht="12.75">
      <c r="C53" s="735" t="s">
        <v>1023</v>
      </c>
      <c r="D53" s="735"/>
      <c r="E53" s="36"/>
      <c r="F53" s="36"/>
      <c r="G53" s="735" t="s">
        <v>1023</v>
      </c>
      <c r="H53" s="735"/>
      <c r="I53" s="83"/>
    </row>
    <row r="54" spans="9:12" ht="12.75">
      <c r="I54" s="36"/>
      <c r="J54" s="36"/>
      <c r="K54" s="36"/>
      <c r="L54" s="36"/>
    </row>
  </sheetData>
  <sheetProtection/>
  <mergeCells count="10">
    <mergeCell ref="C52:D52"/>
    <mergeCell ref="G52:H52"/>
    <mergeCell ref="C53:D53"/>
    <mergeCell ref="G53:H53"/>
    <mergeCell ref="B3:G3"/>
    <mergeCell ref="D9:I9"/>
    <mergeCell ref="A5:I5"/>
    <mergeCell ref="G12:G46"/>
    <mergeCell ref="C51:D51"/>
    <mergeCell ref="G51:H51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79" r:id="rId1"/>
  <colBreaks count="1" manualBreakCount="1">
    <brk id="9" max="3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90" zoomScaleSheetLayoutView="90" zoomScalePageLayoutView="0" workbookViewId="0" topLeftCell="A17">
      <selection activeCell="C29" sqref="C29:H31"/>
    </sheetView>
  </sheetViews>
  <sheetFormatPr defaultColWidth="9.140625" defaultRowHeight="12.75"/>
  <cols>
    <col min="1" max="1" width="4.421875" style="16" customWidth="1"/>
    <col min="2" max="2" width="37.28125" style="16" customWidth="1"/>
    <col min="3" max="3" width="12.28125" style="16" customWidth="1"/>
    <col min="4" max="5" width="15.140625" style="16" customWidth="1"/>
    <col min="6" max="6" width="15.8515625" style="16" customWidth="1"/>
    <col min="7" max="7" width="12.57421875" style="16" customWidth="1"/>
    <col min="8" max="8" width="23.7109375" style="16" customWidth="1"/>
    <col min="9" max="16384" width="9.140625" style="16" customWidth="1"/>
  </cols>
  <sheetData>
    <row r="1" spans="4:14" ht="15">
      <c r="D1" s="36"/>
      <c r="E1" s="36"/>
      <c r="F1" s="36"/>
      <c r="H1" s="41" t="s">
        <v>67</v>
      </c>
      <c r="I1" s="36"/>
      <c r="M1" s="43"/>
      <c r="N1" s="43"/>
    </row>
    <row r="2" spans="1:14" ht="15">
      <c r="A2" s="811" t="s">
        <v>0</v>
      </c>
      <c r="B2" s="811"/>
      <c r="C2" s="811"/>
      <c r="D2" s="811"/>
      <c r="E2" s="811"/>
      <c r="F2" s="811"/>
      <c r="G2" s="811"/>
      <c r="H2" s="811"/>
      <c r="I2" s="45"/>
      <c r="J2" s="45"/>
      <c r="K2" s="45"/>
      <c r="L2" s="45"/>
      <c r="M2" s="45"/>
      <c r="N2" s="45"/>
    </row>
    <row r="3" spans="1:14" ht="20.25">
      <c r="A3" s="733" t="s">
        <v>656</v>
      </c>
      <c r="B3" s="733"/>
      <c r="C3" s="733"/>
      <c r="D3" s="733"/>
      <c r="E3" s="733"/>
      <c r="F3" s="733"/>
      <c r="G3" s="733"/>
      <c r="H3" s="733"/>
      <c r="I3" s="44"/>
      <c r="J3" s="44"/>
      <c r="K3" s="44"/>
      <c r="L3" s="44"/>
      <c r="M3" s="44"/>
      <c r="N3" s="44"/>
    </row>
    <row r="4" ht="10.5" customHeight="1"/>
    <row r="5" spans="1:8" ht="19.5" customHeight="1">
      <c r="A5" s="734" t="s">
        <v>686</v>
      </c>
      <c r="B5" s="811"/>
      <c r="C5" s="811"/>
      <c r="D5" s="811"/>
      <c r="E5" s="811"/>
      <c r="F5" s="811"/>
      <c r="G5" s="811"/>
      <c r="H5" s="811"/>
    </row>
    <row r="7" spans="1:10" s="14" customFormat="1" ht="15.75" customHeight="1" hidden="1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9" s="14" customFormat="1" ht="15.75">
      <c r="A8" s="736" t="s">
        <v>1020</v>
      </c>
      <c r="B8" s="736"/>
      <c r="C8" s="16"/>
      <c r="D8" s="16"/>
      <c r="E8" s="16"/>
      <c r="F8" s="16"/>
      <c r="G8" s="16"/>
      <c r="H8" s="33" t="s">
        <v>27</v>
      </c>
      <c r="I8" s="16"/>
    </row>
    <row r="9" spans="1:20" s="14" customFormat="1" ht="15.75">
      <c r="A9" s="15"/>
      <c r="B9" s="16"/>
      <c r="C9" s="16"/>
      <c r="D9" s="99"/>
      <c r="E9" s="99"/>
      <c r="G9" s="99" t="s">
        <v>819</v>
      </c>
      <c r="H9" s="99"/>
      <c r="J9" s="99"/>
      <c r="K9" s="99"/>
      <c r="L9" s="99"/>
      <c r="S9" s="120"/>
      <c r="T9" s="118"/>
    </row>
    <row r="10" spans="1:8" s="37" customFormat="1" ht="55.5" customHeight="1">
      <c r="A10" s="39"/>
      <c r="B10" s="5" t="s">
        <v>28</v>
      </c>
      <c r="C10" s="5" t="s">
        <v>687</v>
      </c>
      <c r="D10" s="5" t="s">
        <v>675</v>
      </c>
      <c r="E10" s="5" t="s">
        <v>229</v>
      </c>
      <c r="F10" s="5" t="s">
        <v>230</v>
      </c>
      <c r="G10" s="5" t="s">
        <v>73</v>
      </c>
      <c r="H10" s="5" t="s">
        <v>830</v>
      </c>
    </row>
    <row r="11" spans="1:8" s="37" customFormat="1" ht="14.2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</row>
    <row r="12" spans="1:8" ht="16.5" customHeight="1">
      <c r="A12" s="30" t="s">
        <v>29</v>
      </c>
      <c r="B12" s="30" t="s">
        <v>30</v>
      </c>
      <c r="C12" s="710"/>
      <c r="D12" s="710"/>
      <c r="E12" s="710"/>
      <c r="F12" s="710"/>
      <c r="G12" s="325">
        <v>0</v>
      </c>
      <c r="H12" s="710"/>
    </row>
    <row r="13" spans="1:8" ht="20.25" customHeight="1">
      <c r="A13" s="20"/>
      <c r="B13" s="20" t="s">
        <v>31</v>
      </c>
      <c r="C13" s="710"/>
      <c r="D13" s="710"/>
      <c r="E13" s="710"/>
      <c r="F13" s="710"/>
      <c r="G13" s="325">
        <v>494.65</v>
      </c>
      <c r="H13" s="710"/>
    </row>
    <row r="14" spans="1:8" ht="17.25" customHeight="1">
      <c r="A14" s="20"/>
      <c r="B14" s="20" t="s">
        <v>191</v>
      </c>
      <c r="C14" s="710"/>
      <c r="D14" s="710"/>
      <c r="E14" s="710"/>
      <c r="F14" s="710"/>
      <c r="G14" s="325">
        <v>45.35</v>
      </c>
      <c r="H14" s="710"/>
    </row>
    <row r="15" spans="1:11" s="37" customFormat="1" ht="33.75" customHeight="1">
      <c r="A15" s="38"/>
      <c r="B15" s="38" t="s">
        <v>192</v>
      </c>
      <c r="C15" s="710"/>
      <c r="D15" s="710"/>
      <c r="E15" s="710"/>
      <c r="F15" s="710"/>
      <c r="G15" s="498">
        <v>0</v>
      </c>
      <c r="H15" s="710"/>
      <c r="K15" s="37">
        <f>216.75+196+81.9</f>
        <v>494.65</v>
      </c>
    </row>
    <row r="16" spans="1:8" s="37" customFormat="1" ht="12.75">
      <c r="A16" s="38"/>
      <c r="B16" s="39" t="s">
        <v>32</v>
      </c>
      <c r="C16" s="18">
        <v>734.01</v>
      </c>
      <c r="D16" s="18"/>
      <c r="E16" s="18"/>
      <c r="F16" s="18"/>
      <c r="G16" s="499">
        <f>SUM(G12:G15)</f>
        <v>540</v>
      </c>
      <c r="H16" s="38"/>
    </row>
    <row r="17" spans="1:8" s="37" customFormat="1" ht="40.5" customHeight="1">
      <c r="A17" s="39" t="s">
        <v>33</v>
      </c>
      <c r="B17" s="39" t="s">
        <v>228</v>
      </c>
      <c r="C17" s="903"/>
      <c r="D17" s="903"/>
      <c r="E17" s="903"/>
      <c r="F17" s="903"/>
      <c r="G17" s="38"/>
      <c r="H17" s="903"/>
    </row>
    <row r="18" spans="1:8" ht="28.5" customHeight="1">
      <c r="A18" s="20"/>
      <c r="B18" s="151" t="s">
        <v>194</v>
      </c>
      <c r="C18" s="903"/>
      <c r="D18" s="903"/>
      <c r="E18" s="903"/>
      <c r="F18" s="903"/>
      <c r="G18" s="325">
        <v>480.1</v>
      </c>
      <c r="H18" s="903"/>
    </row>
    <row r="19" spans="1:8" ht="19.5" customHeight="1">
      <c r="A19" s="20"/>
      <c r="B19" s="38" t="s">
        <v>34</v>
      </c>
      <c r="C19" s="903"/>
      <c r="D19" s="903"/>
      <c r="E19" s="903"/>
      <c r="F19" s="903"/>
      <c r="G19" s="325">
        <v>30</v>
      </c>
      <c r="H19" s="903"/>
    </row>
    <row r="20" spans="1:8" ht="21.75" customHeight="1">
      <c r="A20" s="20"/>
      <c r="B20" s="38" t="s">
        <v>195</v>
      </c>
      <c r="C20" s="903"/>
      <c r="D20" s="903"/>
      <c r="E20" s="903"/>
      <c r="F20" s="903"/>
      <c r="G20" s="325">
        <v>63.086</v>
      </c>
      <c r="H20" s="903"/>
    </row>
    <row r="21" spans="1:8" s="37" customFormat="1" ht="27.75" customHeight="1">
      <c r="A21" s="38"/>
      <c r="B21" s="38" t="s">
        <v>35</v>
      </c>
      <c r="C21" s="903"/>
      <c r="D21" s="903"/>
      <c r="E21" s="903"/>
      <c r="F21" s="903"/>
      <c r="G21" s="498">
        <v>0</v>
      </c>
      <c r="H21" s="903"/>
    </row>
    <row r="22" spans="1:8" s="37" customFormat="1" ht="19.5" customHeight="1">
      <c r="A22" s="38"/>
      <c r="B22" s="38" t="s">
        <v>193</v>
      </c>
      <c r="C22" s="903"/>
      <c r="D22" s="903"/>
      <c r="E22" s="903"/>
      <c r="F22" s="903"/>
      <c r="G22" s="498">
        <v>0</v>
      </c>
      <c r="H22" s="903"/>
    </row>
    <row r="23" spans="1:8" s="37" customFormat="1" ht="20.25" customHeight="1">
      <c r="A23" s="38"/>
      <c r="B23" s="38" t="s">
        <v>196</v>
      </c>
      <c r="C23" s="903"/>
      <c r="D23" s="903"/>
      <c r="E23" s="903"/>
      <c r="F23" s="903"/>
      <c r="G23" s="498">
        <v>250</v>
      </c>
      <c r="H23" s="903"/>
    </row>
    <row r="24" spans="1:8" s="37" customFormat="1" ht="18.75" customHeight="1">
      <c r="A24" s="39"/>
      <c r="B24" s="38" t="s">
        <v>197</v>
      </c>
      <c r="C24" s="903"/>
      <c r="D24" s="903"/>
      <c r="E24" s="903"/>
      <c r="F24" s="903"/>
      <c r="G24" s="498">
        <v>0</v>
      </c>
      <c r="H24" s="903"/>
    </row>
    <row r="25" spans="1:8" s="37" customFormat="1" ht="12.75">
      <c r="A25" s="39"/>
      <c r="B25" s="39" t="s">
        <v>32</v>
      </c>
      <c r="C25" s="18">
        <v>734.01</v>
      </c>
      <c r="D25" s="18"/>
      <c r="E25" s="18"/>
      <c r="F25" s="18"/>
      <c r="G25" s="498">
        <v>823.19</v>
      </c>
      <c r="H25" s="38"/>
    </row>
    <row r="26" spans="1:8" ht="12.75">
      <c r="A26" s="20"/>
      <c r="B26" s="30" t="s">
        <v>36</v>
      </c>
      <c r="C26" s="18">
        <v>1468.02</v>
      </c>
      <c r="D26" s="18">
        <v>104.83</v>
      </c>
      <c r="E26" s="18">
        <v>1363.19</v>
      </c>
      <c r="F26" s="18">
        <v>1363.19</v>
      </c>
      <c r="G26" s="325">
        <f>G16+G25</f>
        <v>1363.19</v>
      </c>
      <c r="H26" s="20">
        <v>104.83</v>
      </c>
    </row>
    <row r="27" s="37" customFormat="1" ht="15.75" customHeight="1">
      <c r="G27" s="500"/>
    </row>
    <row r="28" s="37" customFormat="1" ht="15.75" customHeight="1"/>
    <row r="29" spans="2:8" ht="12.75" customHeight="1">
      <c r="B29" s="15" t="s">
        <v>12</v>
      </c>
      <c r="C29" s="748" t="s">
        <v>1021</v>
      </c>
      <c r="D29" s="748"/>
      <c r="E29" s="83"/>
      <c r="F29" s="83"/>
      <c r="G29" s="748" t="s">
        <v>1024</v>
      </c>
      <c r="H29" s="748"/>
    </row>
    <row r="30" spans="2:8" ht="13.5" customHeight="1">
      <c r="B30" s="83"/>
      <c r="C30" s="748" t="s">
        <v>1022</v>
      </c>
      <c r="D30" s="748"/>
      <c r="E30" s="83"/>
      <c r="F30" s="83"/>
      <c r="G30" s="748" t="s">
        <v>1025</v>
      </c>
      <c r="H30" s="748"/>
    </row>
    <row r="31" spans="2:8" ht="12" customHeight="1">
      <c r="B31" s="83"/>
      <c r="C31" s="735" t="s">
        <v>1023</v>
      </c>
      <c r="D31" s="735"/>
      <c r="E31" s="36"/>
      <c r="F31" s="36"/>
      <c r="G31" s="735" t="s">
        <v>1023</v>
      </c>
      <c r="H31" s="735"/>
    </row>
    <row r="32" spans="2:10" ht="12.75">
      <c r="B32" s="15"/>
      <c r="C32" s="15"/>
      <c r="D32" s="15"/>
      <c r="E32" s="15"/>
      <c r="F32" s="15"/>
      <c r="G32" s="36"/>
      <c r="H32" s="36"/>
      <c r="I32" s="36"/>
      <c r="J32" s="36"/>
    </row>
  </sheetData>
  <sheetProtection/>
  <mergeCells count="20">
    <mergeCell ref="C30:D30"/>
    <mergeCell ref="G30:H30"/>
    <mergeCell ref="C31:D31"/>
    <mergeCell ref="D17:D24"/>
    <mergeCell ref="E17:E24"/>
    <mergeCell ref="F17:F24"/>
    <mergeCell ref="G29:H29"/>
    <mergeCell ref="C17:C24"/>
    <mergeCell ref="H17:H24"/>
    <mergeCell ref="C29:D29"/>
    <mergeCell ref="G31:H31"/>
    <mergeCell ref="A2:H2"/>
    <mergeCell ref="A3:H3"/>
    <mergeCell ref="C12:C15"/>
    <mergeCell ref="D12:D15"/>
    <mergeCell ref="F12:F15"/>
    <mergeCell ref="H12:H15"/>
    <mergeCell ref="A5:H5"/>
    <mergeCell ref="E12:E15"/>
    <mergeCell ref="A8:B8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zoomScaleSheetLayoutView="85" zoomScalePageLayoutView="0" workbookViewId="0" topLeftCell="A1">
      <pane xSplit="2" ySplit="12" topLeftCell="C49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53" sqref="B53:C53"/>
    </sheetView>
  </sheetViews>
  <sheetFormatPr defaultColWidth="9.140625" defaultRowHeight="12.75"/>
  <cols>
    <col min="1" max="1" width="9.140625" style="16" customWidth="1"/>
    <col min="2" max="2" width="19.28125" style="16" customWidth="1"/>
    <col min="3" max="3" width="28.421875" style="16" customWidth="1"/>
    <col min="4" max="4" width="27.7109375" style="16" customWidth="1"/>
    <col min="5" max="5" width="30.28125" style="16" customWidth="1"/>
    <col min="6" max="16384" width="9.140625" style="16" customWidth="1"/>
  </cols>
  <sheetData>
    <row r="1" spans="5:6" ht="15">
      <c r="E1" s="41" t="s">
        <v>527</v>
      </c>
      <c r="F1" s="43"/>
    </row>
    <row r="2" spans="4:6" ht="15">
      <c r="D2" s="45" t="s">
        <v>0</v>
      </c>
      <c r="E2" s="45"/>
      <c r="F2" s="45"/>
    </row>
    <row r="3" spans="2:6" ht="20.25">
      <c r="B3" s="154"/>
      <c r="C3" s="733" t="s">
        <v>656</v>
      </c>
      <c r="D3" s="733"/>
      <c r="E3" s="733"/>
      <c r="F3" s="44"/>
    </row>
    <row r="4" ht="10.5" customHeight="1"/>
    <row r="5" spans="1:5" ht="30.75" customHeight="1">
      <c r="A5" s="899" t="s">
        <v>688</v>
      </c>
      <c r="B5" s="899"/>
      <c r="C5" s="899"/>
      <c r="D5" s="899"/>
      <c r="E5" s="899"/>
    </row>
    <row r="7" ht="0.75" customHeight="1"/>
    <row r="8" ht="12.75">
      <c r="A8" s="15" t="s">
        <v>1020</v>
      </c>
    </row>
    <row r="9" spans="4:18" ht="12.75">
      <c r="D9" s="907" t="s">
        <v>822</v>
      </c>
      <c r="E9" s="907"/>
      <c r="Q9" s="20"/>
      <c r="R9" s="22"/>
    </row>
    <row r="10" spans="1:18" ht="26.25" customHeight="1">
      <c r="A10" s="709" t="s">
        <v>2</v>
      </c>
      <c r="B10" s="709" t="s">
        <v>3</v>
      </c>
      <c r="C10" s="904" t="s">
        <v>523</v>
      </c>
      <c r="D10" s="905"/>
      <c r="E10" s="906"/>
      <c r="Q10" s="22"/>
      <c r="R10" s="22"/>
    </row>
    <row r="11" spans="1:5" ht="56.25" customHeight="1">
      <c r="A11" s="709"/>
      <c r="B11" s="709"/>
      <c r="C11" s="5" t="s">
        <v>525</v>
      </c>
      <c r="D11" s="5" t="s">
        <v>526</v>
      </c>
      <c r="E11" s="5" t="s">
        <v>524</v>
      </c>
    </row>
    <row r="12" spans="1:5" s="110" customFormat="1" ht="15.75" customHeight="1">
      <c r="A12" s="67">
        <v>1</v>
      </c>
      <c r="B12" s="66">
        <v>2</v>
      </c>
      <c r="C12" s="67">
        <v>3</v>
      </c>
      <c r="D12" s="66">
        <v>4</v>
      </c>
      <c r="E12" s="67">
        <v>5</v>
      </c>
    </row>
    <row r="13" spans="1:5" ht="12.75">
      <c r="A13" s="19">
        <v>1</v>
      </c>
      <c r="B13" s="328" t="s">
        <v>870</v>
      </c>
      <c r="C13" s="20">
        <v>4</v>
      </c>
      <c r="D13" s="20">
        <v>4</v>
      </c>
      <c r="E13" s="30">
        <f>'AT-3'!F9</f>
        <v>4538</v>
      </c>
    </row>
    <row r="14" spans="1:5" ht="12.75">
      <c r="A14" s="19">
        <v>2</v>
      </c>
      <c r="B14" s="328" t="s">
        <v>871</v>
      </c>
      <c r="C14" s="20">
        <v>0</v>
      </c>
      <c r="D14" s="20">
        <v>0</v>
      </c>
      <c r="E14" s="30">
        <f>'AT-3'!F10</f>
        <v>1430</v>
      </c>
    </row>
    <row r="15" spans="1:5" ht="12" customHeight="1">
      <c r="A15" s="19">
        <v>3</v>
      </c>
      <c r="B15" s="328" t="s">
        <v>872</v>
      </c>
      <c r="C15" s="20">
        <v>0</v>
      </c>
      <c r="D15" s="20">
        <v>0</v>
      </c>
      <c r="E15" s="30">
        <f>'AT-3'!F11</f>
        <v>2401</v>
      </c>
    </row>
    <row r="16" spans="1:5" ht="12.75">
      <c r="A16" s="19">
        <v>4</v>
      </c>
      <c r="B16" s="328" t="s">
        <v>873</v>
      </c>
      <c r="C16" s="20">
        <v>3</v>
      </c>
      <c r="D16" s="20">
        <v>0</v>
      </c>
      <c r="E16" s="30">
        <f>'AT-3'!F12</f>
        <v>2981</v>
      </c>
    </row>
    <row r="17" spans="1:5" ht="12.75">
      <c r="A17" s="19">
        <v>5</v>
      </c>
      <c r="B17" s="328" t="s">
        <v>874</v>
      </c>
      <c r="C17" s="340">
        <v>0</v>
      </c>
      <c r="D17" s="20">
        <v>0</v>
      </c>
      <c r="E17" s="30">
        <f>'AT-3'!F13</f>
        <v>3224</v>
      </c>
    </row>
    <row r="18" spans="1:5" ht="12.75" customHeight="1">
      <c r="A18" s="19">
        <v>6</v>
      </c>
      <c r="B18" s="328" t="s">
        <v>875</v>
      </c>
      <c r="C18" s="20">
        <v>0</v>
      </c>
      <c r="D18" s="20">
        <v>0</v>
      </c>
      <c r="E18" s="30">
        <f>'AT-3'!F14</f>
        <v>1132</v>
      </c>
    </row>
    <row r="19" spans="1:5" ht="12.75" customHeight="1">
      <c r="A19" s="19">
        <v>7</v>
      </c>
      <c r="B19" s="328" t="s">
        <v>876</v>
      </c>
      <c r="C19" s="20">
        <v>3</v>
      </c>
      <c r="D19" s="20">
        <v>3</v>
      </c>
      <c r="E19" s="30">
        <f>'AT-3'!F15</f>
        <v>2013</v>
      </c>
    </row>
    <row r="20" spans="1:5" ht="12.75">
      <c r="A20" s="19">
        <v>8</v>
      </c>
      <c r="B20" s="328" t="s">
        <v>877</v>
      </c>
      <c r="C20" s="20">
        <v>1</v>
      </c>
      <c r="D20" s="20">
        <v>0</v>
      </c>
      <c r="E20" s="30">
        <f>'AT-3'!F16</f>
        <v>2035</v>
      </c>
    </row>
    <row r="21" spans="1:5" ht="12.75">
      <c r="A21" s="19">
        <v>9</v>
      </c>
      <c r="B21" s="328" t="s">
        <v>878</v>
      </c>
      <c r="C21" s="20">
        <v>2</v>
      </c>
      <c r="D21" s="20">
        <v>1</v>
      </c>
      <c r="E21" s="30">
        <f>'AT-3'!F17</f>
        <v>1682</v>
      </c>
    </row>
    <row r="22" spans="1:5" ht="12.75">
      <c r="A22" s="19">
        <v>10</v>
      </c>
      <c r="B22" s="328" t="s">
        <v>879</v>
      </c>
      <c r="C22" s="20">
        <v>3</v>
      </c>
      <c r="D22" s="20">
        <v>12</v>
      </c>
      <c r="E22" s="30">
        <f>'AT-3'!F18</f>
        <v>1799</v>
      </c>
    </row>
    <row r="23" spans="1:5" ht="12.75">
      <c r="A23" s="19">
        <v>11</v>
      </c>
      <c r="B23" s="328" t="s">
        <v>880</v>
      </c>
      <c r="C23" s="20">
        <v>1</v>
      </c>
      <c r="D23" s="20">
        <v>1</v>
      </c>
      <c r="E23" s="30">
        <f>'AT-3'!F19</f>
        <v>1374</v>
      </c>
    </row>
    <row r="24" spans="1:5" ht="12.75">
      <c r="A24" s="19">
        <v>12</v>
      </c>
      <c r="B24" s="328" t="s">
        <v>881</v>
      </c>
      <c r="C24" s="20">
        <v>0</v>
      </c>
      <c r="D24" s="20">
        <v>0</v>
      </c>
      <c r="E24" s="30">
        <f>'AT-3'!F20</f>
        <v>1032</v>
      </c>
    </row>
    <row r="25" spans="1:5" ht="12.75">
      <c r="A25" s="19">
        <v>13</v>
      </c>
      <c r="B25" s="328" t="s">
        <v>882</v>
      </c>
      <c r="C25" s="20">
        <v>1</v>
      </c>
      <c r="D25" s="20">
        <v>0</v>
      </c>
      <c r="E25" s="30">
        <f>'AT-3'!F21</f>
        <v>2748</v>
      </c>
    </row>
    <row r="26" spans="1:5" ht="12.75">
      <c r="A26" s="19">
        <v>14</v>
      </c>
      <c r="B26" s="328" t="s">
        <v>883</v>
      </c>
      <c r="C26" s="20">
        <v>0</v>
      </c>
      <c r="D26" s="20">
        <v>0</v>
      </c>
      <c r="E26" s="30">
        <f>'AT-3'!F22</f>
        <v>1923</v>
      </c>
    </row>
    <row r="27" spans="1:5" ht="12.75">
      <c r="A27" s="19">
        <v>15</v>
      </c>
      <c r="B27" s="328" t="s">
        <v>884</v>
      </c>
      <c r="C27" s="20">
        <v>3</v>
      </c>
      <c r="D27" s="20">
        <v>0</v>
      </c>
      <c r="E27" s="30">
        <f>'AT-3'!F23</f>
        <v>3061</v>
      </c>
    </row>
    <row r="28" spans="1:5" ht="12.75">
      <c r="A28" s="19">
        <v>16</v>
      </c>
      <c r="B28" s="328" t="s">
        <v>885</v>
      </c>
      <c r="C28" s="20">
        <v>1</v>
      </c>
      <c r="D28" s="20">
        <v>1</v>
      </c>
      <c r="E28" s="30">
        <f>'AT-3'!F24</f>
        <v>2137</v>
      </c>
    </row>
    <row r="29" spans="1:5" ht="12.75">
      <c r="A29" s="19">
        <v>17</v>
      </c>
      <c r="B29" s="328" t="s">
        <v>886</v>
      </c>
      <c r="C29" s="20">
        <v>0</v>
      </c>
      <c r="D29" s="20">
        <v>1</v>
      </c>
      <c r="E29" s="30">
        <f>'AT-3'!F25</f>
        <v>2389</v>
      </c>
    </row>
    <row r="30" spans="1:5" ht="12.75">
      <c r="A30" s="19">
        <v>18</v>
      </c>
      <c r="B30" s="328" t="s">
        <v>887</v>
      </c>
      <c r="C30" s="20">
        <v>2</v>
      </c>
      <c r="D30" s="20">
        <v>2</v>
      </c>
      <c r="E30" s="30">
        <f>'AT-3'!F26</f>
        <v>2849</v>
      </c>
    </row>
    <row r="31" spans="1:5" ht="12.75">
      <c r="A31" s="19">
        <v>19</v>
      </c>
      <c r="B31" s="328" t="s">
        <v>888</v>
      </c>
      <c r="C31" s="20">
        <v>3</v>
      </c>
      <c r="D31" s="20">
        <v>3</v>
      </c>
      <c r="E31" s="30">
        <f>'AT-3'!F27</f>
        <v>3021</v>
      </c>
    </row>
    <row r="32" spans="1:5" ht="12.75">
      <c r="A32" s="19">
        <v>20</v>
      </c>
      <c r="B32" s="328" t="s">
        <v>889</v>
      </c>
      <c r="C32" s="20">
        <v>1</v>
      </c>
      <c r="D32" s="20">
        <v>1</v>
      </c>
      <c r="E32" s="30">
        <f>'AT-3'!F28</f>
        <v>1705</v>
      </c>
    </row>
    <row r="33" spans="1:5" ht="12.75">
      <c r="A33" s="19">
        <v>21</v>
      </c>
      <c r="B33" s="328" t="s">
        <v>890</v>
      </c>
      <c r="C33" s="20">
        <v>0</v>
      </c>
      <c r="D33" s="20">
        <v>0</v>
      </c>
      <c r="E33" s="30">
        <f>'AT-3'!F29</f>
        <v>4449</v>
      </c>
    </row>
    <row r="34" spans="1:5" ht="12.75">
      <c r="A34" s="19">
        <v>22</v>
      </c>
      <c r="B34" s="328" t="s">
        <v>891</v>
      </c>
      <c r="C34" s="20">
        <v>0</v>
      </c>
      <c r="D34" s="20">
        <v>4</v>
      </c>
      <c r="E34" s="30">
        <f>'AT-3'!F30</f>
        <v>1548</v>
      </c>
    </row>
    <row r="35" spans="1:5" ht="12.75">
      <c r="A35" s="19">
        <v>23</v>
      </c>
      <c r="B35" s="328" t="s">
        <v>892</v>
      </c>
      <c r="C35" s="20">
        <v>0</v>
      </c>
      <c r="D35" s="20">
        <v>0</v>
      </c>
      <c r="E35" s="30">
        <f>'AT-3'!F31</f>
        <v>1583</v>
      </c>
    </row>
    <row r="36" spans="1:5" ht="12.75">
      <c r="A36" s="19">
        <v>24</v>
      </c>
      <c r="B36" s="328" t="s">
        <v>893</v>
      </c>
      <c r="C36" s="20">
        <v>2</v>
      </c>
      <c r="D36" s="20">
        <v>0</v>
      </c>
      <c r="E36" s="30">
        <f>'AT-3'!F32</f>
        <v>5432</v>
      </c>
    </row>
    <row r="37" spans="1:5" ht="12.75">
      <c r="A37" s="19">
        <v>25</v>
      </c>
      <c r="B37" s="328" t="s">
        <v>894</v>
      </c>
      <c r="C37" s="20">
        <v>0</v>
      </c>
      <c r="D37" s="20">
        <v>1</v>
      </c>
      <c r="E37" s="30">
        <f>'AT-3'!F33</f>
        <v>3208</v>
      </c>
    </row>
    <row r="38" spans="1:5" ht="12.75">
      <c r="A38" s="19">
        <v>26</v>
      </c>
      <c r="B38" s="328" t="s">
        <v>895</v>
      </c>
      <c r="C38" s="20">
        <v>2</v>
      </c>
      <c r="D38" s="20">
        <v>2</v>
      </c>
      <c r="E38" s="30">
        <f>'AT-3'!F34</f>
        <v>3076</v>
      </c>
    </row>
    <row r="39" spans="1:5" ht="12.75">
      <c r="A39" s="19">
        <v>27</v>
      </c>
      <c r="B39" s="328" t="s">
        <v>896</v>
      </c>
      <c r="C39" s="20">
        <v>1</v>
      </c>
      <c r="D39" s="20">
        <v>0</v>
      </c>
      <c r="E39" s="30">
        <f>'AT-3'!F35</f>
        <v>2515</v>
      </c>
    </row>
    <row r="40" spans="1:5" ht="12.75">
      <c r="A40" s="19">
        <v>28</v>
      </c>
      <c r="B40" s="328" t="s">
        <v>897</v>
      </c>
      <c r="C40" s="20">
        <v>0</v>
      </c>
      <c r="D40" s="20">
        <v>0</v>
      </c>
      <c r="E40" s="30">
        <f>'AT-3'!F36</f>
        <v>3436</v>
      </c>
    </row>
    <row r="41" spans="1:5" ht="12.75">
      <c r="A41" s="19">
        <v>29</v>
      </c>
      <c r="B41" s="328" t="s">
        <v>898</v>
      </c>
      <c r="C41" s="20">
        <v>1</v>
      </c>
      <c r="D41" s="20">
        <v>1</v>
      </c>
      <c r="E41" s="30">
        <f>'AT-3'!F37</f>
        <v>1670</v>
      </c>
    </row>
    <row r="42" spans="1:5" ht="12.75">
      <c r="A42" s="19">
        <v>30</v>
      </c>
      <c r="B42" s="328" t="s">
        <v>899</v>
      </c>
      <c r="C42" s="20">
        <v>2</v>
      </c>
      <c r="D42" s="20">
        <v>2</v>
      </c>
      <c r="E42" s="30">
        <f>'AT-3'!F38</f>
        <v>4073</v>
      </c>
    </row>
    <row r="43" spans="1:5" ht="12.75">
      <c r="A43" s="19">
        <v>31</v>
      </c>
      <c r="B43" s="328" t="s">
        <v>900</v>
      </c>
      <c r="C43" s="20">
        <v>0</v>
      </c>
      <c r="D43" s="20">
        <v>0</v>
      </c>
      <c r="E43" s="30">
        <f>'AT-3'!F39</f>
        <v>2785</v>
      </c>
    </row>
    <row r="44" spans="1:5" ht="12.75">
      <c r="A44" s="19">
        <v>32</v>
      </c>
      <c r="B44" s="328" t="s">
        <v>901</v>
      </c>
      <c r="C44" s="20">
        <v>2</v>
      </c>
      <c r="D44" s="20">
        <v>0</v>
      </c>
      <c r="E44" s="30">
        <f>'AT-3'!F40</f>
        <v>2393</v>
      </c>
    </row>
    <row r="45" spans="1:5" ht="12.75">
      <c r="A45" s="19">
        <v>33</v>
      </c>
      <c r="B45" s="328" t="s">
        <v>902</v>
      </c>
      <c r="C45" s="20">
        <v>1</v>
      </c>
      <c r="D45" s="20">
        <v>1</v>
      </c>
      <c r="E45" s="30">
        <f>'AT-3'!F41</f>
        <v>1246</v>
      </c>
    </row>
    <row r="46" spans="1:5" ht="12.75">
      <c r="A46" s="19">
        <v>34</v>
      </c>
      <c r="B46" s="328" t="s">
        <v>903</v>
      </c>
      <c r="C46" s="20">
        <v>0</v>
      </c>
      <c r="D46" s="20">
        <v>2</v>
      </c>
      <c r="E46" s="30">
        <f>'AT-3'!F42</f>
        <v>1110</v>
      </c>
    </row>
    <row r="47" spans="1:5" ht="12.75">
      <c r="A47" s="19">
        <v>35</v>
      </c>
      <c r="B47" s="328" t="s">
        <v>904</v>
      </c>
      <c r="C47" s="20">
        <v>0</v>
      </c>
      <c r="D47" s="20">
        <v>0</v>
      </c>
      <c r="E47" s="30">
        <f>'AT-3'!F43</f>
        <v>2782</v>
      </c>
    </row>
    <row r="48" spans="1:5" ht="12.75">
      <c r="A48" s="3" t="s">
        <v>19</v>
      </c>
      <c r="B48" s="20"/>
      <c r="C48" s="30">
        <f>SUM(C13:C47)</f>
        <v>39</v>
      </c>
      <c r="D48" s="30">
        <f>SUM(D13:D47)</f>
        <v>42</v>
      </c>
      <c r="E48" s="30">
        <f>SUM(E13:E47)</f>
        <v>86780</v>
      </c>
    </row>
    <row r="49" ht="12.75">
      <c r="E49" s="31"/>
    </row>
    <row r="50" ht="12.75">
      <c r="E50" s="12"/>
    </row>
    <row r="51" spans="1:5" ht="12.75">
      <c r="A51" s="36" t="s">
        <v>12</v>
      </c>
      <c r="B51" s="748" t="s">
        <v>1021</v>
      </c>
      <c r="C51" s="748"/>
      <c r="D51" s="748" t="s">
        <v>1024</v>
      </c>
      <c r="E51" s="748"/>
    </row>
    <row r="52" spans="2:5" ht="12.75" customHeight="1">
      <c r="B52" s="748" t="s">
        <v>1022</v>
      </c>
      <c r="C52" s="748"/>
      <c r="D52" s="748" t="s">
        <v>1025</v>
      </c>
      <c r="E52" s="748"/>
    </row>
    <row r="53" spans="2:5" ht="12.75" customHeight="1">
      <c r="B53" s="735" t="s">
        <v>1023</v>
      </c>
      <c r="C53" s="735"/>
      <c r="D53" s="735" t="s">
        <v>1023</v>
      </c>
      <c r="E53" s="735"/>
    </row>
    <row r="54" spans="6:8" ht="12.75">
      <c r="F54" s="736"/>
      <c r="G54" s="736"/>
      <c r="H54" s="736"/>
    </row>
  </sheetData>
  <sheetProtection/>
  <mergeCells count="13">
    <mergeCell ref="D51:E51"/>
    <mergeCell ref="D52:E52"/>
    <mergeCell ref="D53:E53"/>
    <mergeCell ref="B51:C51"/>
    <mergeCell ref="B52:C52"/>
    <mergeCell ref="B53:C53"/>
    <mergeCell ref="C3:E3"/>
    <mergeCell ref="A5:E5"/>
    <mergeCell ref="F54:H54"/>
    <mergeCell ref="C10:E10"/>
    <mergeCell ref="D9:E9"/>
    <mergeCell ref="B10:B11"/>
    <mergeCell ref="A10:A11"/>
  </mergeCells>
  <printOptions horizontalCentered="1"/>
  <pageMargins left="0.7086614173228347" right="0.7086614173228347" top="0.2362204724409449" bottom="0" header="0.24" footer="0.21"/>
  <pageSetup fitToHeight="1" fitToWidth="1" horizontalDpi="600" verticalDpi="600" orientation="landscape" paperSize="9" scale="78" r:id="rId1"/>
  <colBreaks count="1" manualBreakCount="1">
    <brk id="5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0">
      <selection activeCell="M17" sqref="M17"/>
    </sheetView>
  </sheetViews>
  <sheetFormatPr defaultColWidth="9.140625" defaultRowHeight="12.75"/>
  <sheetData>
    <row r="2" ht="12.75">
      <c r="B2" s="15"/>
    </row>
    <row r="4" spans="2:8" ht="12.75" customHeight="1">
      <c r="B4" s="692"/>
      <c r="C4" s="692"/>
      <c r="D4" s="692"/>
      <c r="E4" s="692"/>
      <c r="F4" s="692"/>
      <c r="G4" s="692"/>
      <c r="H4" s="692"/>
    </row>
    <row r="5" spans="2:8" ht="12.75" customHeight="1">
      <c r="B5" s="692"/>
      <c r="C5" s="692"/>
      <c r="D5" s="692"/>
      <c r="E5" s="692"/>
      <c r="F5" s="692"/>
      <c r="G5" s="692"/>
      <c r="H5" s="692"/>
    </row>
    <row r="6" spans="2:8" ht="12.75" customHeight="1">
      <c r="B6" s="692"/>
      <c r="C6" s="692"/>
      <c r="D6" s="692"/>
      <c r="E6" s="692"/>
      <c r="F6" s="692"/>
      <c r="G6" s="692"/>
      <c r="H6" s="692"/>
    </row>
    <row r="7" spans="2:8" ht="12.75" customHeight="1">
      <c r="B7" s="692"/>
      <c r="C7" s="692"/>
      <c r="D7" s="692"/>
      <c r="E7" s="692"/>
      <c r="F7" s="692"/>
      <c r="G7" s="692"/>
      <c r="H7" s="692"/>
    </row>
    <row r="8" spans="2:8" ht="12.75" customHeight="1">
      <c r="B8" s="692"/>
      <c r="C8" s="692"/>
      <c r="D8" s="692"/>
      <c r="E8" s="692"/>
      <c r="F8" s="692"/>
      <c r="G8" s="692"/>
      <c r="H8" s="692"/>
    </row>
    <row r="9" spans="2:8" ht="12.75" customHeight="1">
      <c r="B9" s="692"/>
      <c r="C9" s="692"/>
      <c r="D9" s="692"/>
      <c r="E9" s="692"/>
      <c r="F9" s="692"/>
      <c r="G9" s="692"/>
      <c r="H9" s="692"/>
    </row>
    <row r="10" spans="2:8" ht="12.75" customHeight="1">
      <c r="B10" s="692"/>
      <c r="C10" s="692"/>
      <c r="D10" s="692"/>
      <c r="E10" s="692"/>
      <c r="F10" s="692"/>
      <c r="G10" s="692"/>
      <c r="H10" s="692"/>
    </row>
    <row r="11" spans="2:8" ht="12.75" customHeight="1">
      <c r="B11" s="692"/>
      <c r="C11" s="692"/>
      <c r="D11" s="692"/>
      <c r="E11" s="692"/>
      <c r="F11" s="692"/>
      <c r="G11" s="692"/>
      <c r="H11" s="692"/>
    </row>
    <row r="12" spans="2:8" ht="12.75" customHeight="1">
      <c r="B12" s="692"/>
      <c r="C12" s="692"/>
      <c r="D12" s="692"/>
      <c r="E12" s="692"/>
      <c r="F12" s="692"/>
      <c r="G12" s="692"/>
      <c r="H12" s="692"/>
    </row>
    <row r="13" spans="2:8" ht="12.75" customHeight="1">
      <c r="B13" s="692"/>
      <c r="C13" s="692"/>
      <c r="D13" s="692"/>
      <c r="E13" s="692"/>
      <c r="F13" s="692"/>
      <c r="G13" s="692"/>
      <c r="H13" s="692"/>
    </row>
  </sheetData>
  <sheetProtection/>
  <mergeCells count="1">
    <mergeCell ref="B4:H13"/>
  </mergeCells>
  <printOptions horizontalCentered="1" vertic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SheetLayoutView="80" zoomScalePageLayoutView="0" workbookViewId="0" topLeftCell="G1">
      <selection activeCell="K12" sqref="K12"/>
    </sheetView>
  </sheetViews>
  <sheetFormatPr defaultColWidth="9.140625" defaultRowHeight="12.75"/>
  <cols>
    <col min="1" max="1" width="8.28125" style="0" customWidth="1"/>
    <col min="2" max="2" width="11.421875" style="0" bestFit="1" customWidth="1"/>
    <col min="3" max="3" width="14.28125" style="0" customWidth="1"/>
    <col min="4" max="5" width="13.57421875" style="0" customWidth="1"/>
    <col min="6" max="7" width="12.8515625" style="0" customWidth="1"/>
    <col min="8" max="8" width="15.28125" style="0" customWidth="1"/>
    <col min="9" max="9" width="15.421875" style="0" customWidth="1"/>
    <col min="10" max="10" width="13.28125" style="0" customWidth="1"/>
  </cols>
  <sheetData>
    <row r="1" spans="9:10" ht="18">
      <c r="I1" s="912" t="s">
        <v>760</v>
      </c>
      <c r="J1" s="912"/>
    </row>
    <row r="2" spans="3:11" ht="18">
      <c r="C2" s="801" t="s">
        <v>0</v>
      </c>
      <c r="D2" s="801"/>
      <c r="E2" s="801"/>
      <c r="F2" s="801"/>
      <c r="G2" s="801"/>
      <c r="H2" s="801"/>
      <c r="I2" s="251"/>
      <c r="J2" s="226"/>
      <c r="K2" s="226"/>
    </row>
    <row r="3" spans="2:11" ht="21">
      <c r="B3" s="802" t="s">
        <v>656</v>
      </c>
      <c r="C3" s="802"/>
      <c r="D3" s="802"/>
      <c r="E3" s="802"/>
      <c r="F3" s="802"/>
      <c r="G3" s="802"/>
      <c r="H3" s="802"/>
      <c r="I3" s="227"/>
      <c r="J3" s="227"/>
      <c r="K3" s="227"/>
    </row>
    <row r="4" spans="3:11" ht="21">
      <c r="C4" s="195"/>
      <c r="D4" s="195"/>
      <c r="E4" s="195"/>
      <c r="F4" s="195"/>
      <c r="G4" s="195"/>
      <c r="H4" s="195"/>
      <c r="I4" s="195"/>
      <c r="J4" s="227"/>
      <c r="K4" s="227"/>
    </row>
    <row r="5" spans="3:9" ht="20.25" customHeight="1">
      <c r="C5" s="913" t="s">
        <v>689</v>
      </c>
      <c r="D5" s="913"/>
      <c r="E5" s="913"/>
      <c r="F5" s="913"/>
      <c r="G5" s="913"/>
      <c r="H5" s="913"/>
      <c r="I5" s="913"/>
    </row>
    <row r="6" spans="1:10" ht="20.25" customHeight="1">
      <c r="A6" s="15" t="s">
        <v>1020</v>
      </c>
      <c r="C6" s="231"/>
      <c r="D6" s="231"/>
      <c r="E6" s="231"/>
      <c r="F6" s="231"/>
      <c r="G6" s="231"/>
      <c r="H6" s="231"/>
      <c r="I6" s="914"/>
      <c r="J6" s="914"/>
    </row>
    <row r="7" spans="1:10" s="666" customFormat="1" ht="15" customHeight="1">
      <c r="A7" s="908" t="s">
        <v>74</v>
      </c>
      <c r="B7" s="908" t="s">
        <v>37</v>
      </c>
      <c r="C7" s="908" t="s">
        <v>424</v>
      </c>
      <c r="D7" s="908" t="s">
        <v>403</v>
      </c>
      <c r="E7" s="909" t="s">
        <v>472</v>
      </c>
      <c r="F7" s="908" t="s">
        <v>402</v>
      </c>
      <c r="G7" s="908"/>
      <c r="H7" s="908"/>
      <c r="I7" s="908" t="s">
        <v>428</v>
      </c>
      <c r="J7" s="909" t="s">
        <v>429</v>
      </c>
    </row>
    <row r="8" spans="1:10" s="666" customFormat="1" ht="12.75" customHeight="1">
      <c r="A8" s="908"/>
      <c r="B8" s="908"/>
      <c r="C8" s="908"/>
      <c r="D8" s="908"/>
      <c r="E8" s="910"/>
      <c r="F8" s="908" t="s">
        <v>425</v>
      </c>
      <c r="G8" s="909" t="s">
        <v>426</v>
      </c>
      <c r="H8" s="908" t="s">
        <v>427</v>
      </c>
      <c r="I8" s="908"/>
      <c r="J8" s="910"/>
    </row>
    <row r="9" spans="1:10" s="666" customFormat="1" ht="20.25" customHeight="1">
      <c r="A9" s="908"/>
      <c r="B9" s="908"/>
      <c r="C9" s="908"/>
      <c r="D9" s="908"/>
      <c r="E9" s="910"/>
      <c r="F9" s="908"/>
      <c r="G9" s="910"/>
      <c r="H9" s="908"/>
      <c r="I9" s="908"/>
      <c r="J9" s="910"/>
    </row>
    <row r="10" spans="1:10" s="666" customFormat="1" ht="25.5" customHeight="1">
      <c r="A10" s="908"/>
      <c r="B10" s="908"/>
      <c r="C10" s="908"/>
      <c r="D10" s="908"/>
      <c r="E10" s="911"/>
      <c r="F10" s="908"/>
      <c r="G10" s="911"/>
      <c r="H10" s="908"/>
      <c r="I10" s="908"/>
      <c r="J10" s="911"/>
    </row>
    <row r="11" spans="1:10" ht="15">
      <c r="A11" s="233">
        <v>1</v>
      </c>
      <c r="B11" s="233">
        <v>2</v>
      </c>
      <c r="C11" s="234">
        <v>3</v>
      </c>
      <c r="D11" s="233">
        <v>4</v>
      </c>
      <c r="E11" s="234">
        <v>5</v>
      </c>
      <c r="F11" s="233">
        <v>6</v>
      </c>
      <c r="G11" s="234">
        <v>7</v>
      </c>
      <c r="H11" s="233">
        <v>8</v>
      </c>
      <c r="I11" s="234">
        <v>9</v>
      </c>
      <c r="J11" s="233">
        <v>10</v>
      </c>
    </row>
    <row r="12" spans="1:10" ht="15">
      <c r="A12" s="233">
        <v>1</v>
      </c>
      <c r="B12" s="328" t="s">
        <v>870</v>
      </c>
      <c r="C12" s="376">
        <v>0</v>
      </c>
      <c r="D12" s="376">
        <v>0</v>
      </c>
      <c r="E12" s="376">
        <v>0</v>
      </c>
      <c r="F12" s="376">
        <v>0</v>
      </c>
      <c r="G12" s="376">
        <v>0</v>
      </c>
      <c r="H12" s="376">
        <v>0</v>
      </c>
      <c r="I12" s="376">
        <v>0</v>
      </c>
      <c r="J12" s="376">
        <v>0</v>
      </c>
    </row>
    <row r="13" spans="1:10" ht="15">
      <c r="A13" s="233">
        <v>2</v>
      </c>
      <c r="B13" s="328" t="s">
        <v>871</v>
      </c>
      <c r="C13" s="376">
        <v>0</v>
      </c>
      <c r="D13" s="376">
        <v>0</v>
      </c>
      <c r="E13" s="376">
        <v>0</v>
      </c>
      <c r="F13" s="376">
        <v>0</v>
      </c>
      <c r="G13" s="376">
        <v>0</v>
      </c>
      <c r="H13" s="376">
        <v>0</v>
      </c>
      <c r="I13" s="376">
        <v>0</v>
      </c>
      <c r="J13" s="376">
        <v>0</v>
      </c>
    </row>
    <row r="14" spans="1:10" ht="15">
      <c r="A14" s="233">
        <v>3</v>
      </c>
      <c r="B14" s="328" t="s">
        <v>872</v>
      </c>
      <c r="C14" s="376">
        <v>0</v>
      </c>
      <c r="D14" s="376">
        <v>0</v>
      </c>
      <c r="E14" s="376">
        <v>0</v>
      </c>
      <c r="F14" s="376">
        <v>0</v>
      </c>
      <c r="G14" s="376">
        <v>0</v>
      </c>
      <c r="H14" s="376">
        <v>0</v>
      </c>
      <c r="I14" s="376">
        <v>0</v>
      </c>
      <c r="J14" s="376">
        <v>0</v>
      </c>
    </row>
    <row r="15" spans="1:10" ht="15">
      <c r="A15" s="233">
        <v>4</v>
      </c>
      <c r="B15" s="328" t="s">
        <v>873</v>
      </c>
      <c r="C15" s="376">
        <v>0</v>
      </c>
      <c r="D15" s="376">
        <v>0</v>
      </c>
      <c r="E15" s="376">
        <v>0</v>
      </c>
      <c r="F15" s="376">
        <v>0</v>
      </c>
      <c r="G15" s="376">
        <v>0</v>
      </c>
      <c r="H15" s="376">
        <v>0</v>
      </c>
      <c r="I15" s="376">
        <v>0</v>
      </c>
      <c r="J15" s="376">
        <v>0</v>
      </c>
    </row>
    <row r="16" spans="1:10" ht="15">
      <c r="A16" s="233">
        <v>5</v>
      </c>
      <c r="B16" s="328" t="s">
        <v>874</v>
      </c>
      <c r="C16" s="376">
        <v>0</v>
      </c>
      <c r="D16" s="376">
        <v>0</v>
      </c>
      <c r="E16" s="376">
        <v>0</v>
      </c>
      <c r="F16" s="376">
        <v>0</v>
      </c>
      <c r="G16" s="376">
        <v>0</v>
      </c>
      <c r="H16" s="376">
        <v>0</v>
      </c>
      <c r="I16" s="376">
        <v>0</v>
      </c>
      <c r="J16" s="376">
        <v>0</v>
      </c>
    </row>
    <row r="17" spans="1:10" ht="15">
      <c r="A17" s="233">
        <v>6</v>
      </c>
      <c r="B17" s="328" t="s">
        <v>875</v>
      </c>
      <c r="C17" s="376">
        <v>0</v>
      </c>
      <c r="D17" s="376">
        <v>0</v>
      </c>
      <c r="E17" s="376">
        <v>0</v>
      </c>
      <c r="F17" s="376">
        <v>0</v>
      </c>
      <c r="G17" s="376">
        <v>0</v>
      </c>
      <c r="H17" s="376">
        <v>0</v>
      </c>
      <c r="I17" s="376">
        <v>0</v>
      </c>
      <c r="J17" s="376">
        <v>0</v>
      </c>
    </row>
    <row r="18" spans="1:10" ht="15">
      <c r="A18" s="233">
        <v>7</v>
      </c>
      <c r="B18" s="328" t="s">
        <v>876</v>
      </c>
      <c r="C18" s="376">
        <v>0</v>
      </c>
      <c r="D18" s="376">
        <v>0</v>
      </c>
      <c r="E18" s="376">
        <v>0</v>
      </c>
      <c r="F18" s="376">
        <v>0</v>
      </c>
      <c r="G18" s="376">
        <v>0</v>
      </c>
      <c r="H18" s="376">
        <v>0</v>
      </c>
      <c r="I18" s="376">
        <v>0</v>
      </c>
      <c r="J18" s="376">
        <v>0</v>
      </c>
    </row>
    <row r="19" spans="1:10" ht="15">
      <c r="A19" s="233">
        <v>8</v>
      </c>
      <c r="B19" s="328" t="s">
        <v>877</v>
      </c>
      <c r="C19" s="376">
        <v>0</v>
      </c>
      <c r="D19" s="376">
        <v>0</v>
      </c>
      <c r="E19" s="376">
        <v>0</v>
      </c>
      <c r="F19" s="376">
        <v>0</v>
      </c>
      <c r="G19" s="376">
        <v>0</v>
      </c>
      <c r="H19" s="376">
        <v>0</v>
      </c>
      <c r="I19" s="376">
        <v>0</v>
      </c>
      <c r="J19" s="376">
        <v>0</v>
      </c>
    </row>
    <row r="20" spans="1:10" ht="15">
      <c r="A20" s="233">
        <v>9</v>
      </c>
      <c r="B20" s="328" t="s">
        <v>878</v>
      </c>
      <c r="C20" s="376">
        <v>0</v>
      </c>
      <c r="D20" s="376">
        <v>0</v>
      </c>
      <c r="E20" s="376">
        <v>0</v>
      </c>
      <c r="F20" s="376">
        <v>0</v>
      </c>
      <c r="G20" s="376">
        <v>0</v>
      </c>
      <c r="H20" s="376">
        <v>0</v>
      </c>
      <c r="I20" s="376">
        <v>0</v>
      </c>
      <c r="J20" s="376">
        <v>0</v>
      </c>
    </row>
    <row r="21" spans="1:10" ht="15">
      <c r="A21" s="233">
        <v>10</v>
      </c>
      <c r="B21" s="328" t="s">
        <v>879</v>
      </c>
      <c r="C21" s="376">
        <v>0</v>
      </c>
      <c r="D21" s="376">
        <v>0</v>
      </c>
      <c r="E21" s="376">
        <v>0</v>
      </c>
      <c r="F21" s="376">
        <v>0</v>
      </c>
      <c r="G21" s="376">
        <v>0</v>
      </c>
      <c r="H21" s="376">
        <v>0</v>
      </c>
      <c r="I21" s="376">
        <v>0</v>
      </c>
      <c r="J21" s="376">
        <v>0</v>
      </c>
    </row>
    <row r="22" spans="1:10" ht="15">
      <c r="A22" s="233">
        <v>11</v>
      </c>
      <c r="B22" s="328" t="s">
        <v>880</v>
      </c>
      <c r="C22" s="376">
        <v>0</v>
      </c>
      <c r="D22" s="376">
        <v>0</v>
      </c>
      <c r="E22" s="376">
        <v>0</v>
      </c>
      <c r="F22" s="376">
        <v>0</v>
      </c>
      <c r="G22" s="376">
        <v>0</v>
      </c>
      <c r="H22" s="376">
        <v>0</v>
      </c>
      <c r="I22" s="376">
        <v>0</v>
      </c>
      <c r="J22" s="376">
        <v>0</v>
      </c>
    </row>
    <row r="23" spans="1:10" ht="15">
      <c r="A23" s="233">
        <v>12</v>
      </c>
      <c r="B23" s="328" t="s">
        <v>881</v>
      </c>
      <c r="C23" s="376">
        <v>0</v>
      </c>
      <c r="D23" s="376">
        <v>0</v>
      </c>
      <c r="E23" s="376">
        <v>0</v>
      </c>
      <c r="F23" s="376">
        <v>0</v>
      </c>
      <c r="G23" s="376">
        <v>0</v>
      </c>
      <c r="H23" s="376">
        <v>0</v>
      </c>
      <c r="I23" s="376">
        <v>0</v>
      </c>
      <c r="J23" s="376">
        <v>0</v>
      </c>
    </row>
    <row r="24" spans="1:10" ht="15">
      <c r="A24" s="233">
        <v>13</v>
      </c>
      <c r="B24" s="328" t="s">
        <v>882</v>
      </c>
      <c r="C24" s="376">
        <v>0</v>
      </c>
      <c r="D24" s="376">
        <v>0</v>
      </c>
      <c r="E24" s="376">
        <v>0</v>
      </c>
      <c r="F24" s="376">
        <v>0</v>
      </c>
      <c r="G24" s="376">
        <v>0</v>
      </c>
      <c r="H24" s="376">
        <v>0</v>
      </c>
      <c r="I24" s="376">
        <v>0</v>
      </c>
      <c r="J24" s="376">
        <v>0</v>
      </c>
    </row>
    <row r="25" spans="1:10" ht="15">
      <c r="A25" s="233">
        <v>14</v>
      </c>
      <c r="B25" s="328" t="s">
        <v>883</v>
      </c>
      <c r="C25" s="376">
        <v>0</v>
      </c>
      <c r="D25" s="376">
        <v>0</v>
      </c>
      <c r="E25" s="376">
        <v>0</v>
      </c>
      <c r="F25" s="376">
        <v>0</v>
      </c>
      <c r="G25" s="376">
        <v>0</v>
      </c>
      <c r="H25" s="376">
        <v>0</v>
      </c>
      <c r="I25" s="376">
        <v>0</v>
      </c>
      <c r="J25" s="376">
        <v>0</v>
      </c>
    </row>
    <row r="26" spans="1:10" ht="15">
      <c r="A26" s="233">
        <v>15</v>
      </c>
      <c r="B26" s="328" t="s">
        <v>884</v>
      </c>
      <c r="C26" s="376">
        <v>0</v>
      </c>
      <c r="D26" s="376">
        <v>0</v>
      </c>
      <c r="E26" s="376">
        <v>0</v>
      </c>
      <c r="F26" s="376">
        <v>0</v>
      </c>
      <c r="G26" s="376">
        <v>0</v>
      </c>
      <c r="H26" s="376">
        <v>0</v>
      </c>
      <c r="I26" s="376">
        <v>0</v>
      </c>
      <c r="J26" s="376">
        <v>0</v>
      </c>
    </row>
    <row r="27" spans="1:10" ht="15">
      <c r="A27" s="233">
        <v>16</v>
      </c>
      <c r="B27" s="328" t="s">
        <v>885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</v>
      </c>
      <c r="J27" s="376">
        <v>0</v>
      </c>
    </row>
    <row r="28" spans="1:10" ht="15">
      <c r="A28" s="233">
        <v>17</v>
      </c>
      <c r="B28" s="328" t="s">
        <v>886</v>
      </c>
      <c r="C28" s="376">
        <v>0</v>
      </c>
      <c r="D28" s="376">
        <v>0</v>
      </c>
      <c r="E28" s="376">
        <v>0</v>
      </c>
      <c r="F28" s="376">
        <v>0</v>
      </c>
      <c r="G28" s="376">
        <v>0</v>
      </c>
      <c r="H28" s="376">
        <v>0</v>
      </c>
      <c r="I28" s="376">
        <v>0</v>
      </c>
      <c r="J28" s="376">
        <v>0</v>
      </c>
    </row>
    <row r="29" spans="1:10" ht="15">
      <c r="A29" s="233">
        <v>18</v>
      </c>
      <c r="B29" s="328" t="s">
        <v>887</v>
      </c>
      <c r="C29" s="376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376">
        <v>0</v>
      </c>
    </row>
    <row r="30" spans="1:10" ht="15">
      <c r="A30" s="233">
        <v>19</v>
      </c>
      <c r="B30" s="328" t="s">
        <v>888</v>
      </c>
      <c r="C30" s="376">
        <v>0</v>
      </c>
      <c r="D30" s="376">
        <v>0</v>
      </c>
      <c r="E30" s="376">
        <v>0</v>
      </c>
      <c r="F30" s="376">
        <v>0</v>
      </c>
      <c r="G30" s="376">
        <v>0</v>
      </c>
      <c r="H30" s="376">
        <v>0</v>
      </c>
      <c r="I30" s="376">
        <v>0</v>
      </c>
      <c r="J30" s="376">
        <v>0</v>
      </c>
    </row>
    <row r="31" spans="1:10" ht="15">
      <c r="A31" s="233">
        <v>20</v>
      </c>
      <c r="B31" s="328" t="s">
        <v>889</v>
      </c>
      <c r="C31" s="376">
        <v>0</v>
      </c>
      <c r="D31" s="376">
        <v>0</v>
      </c>
      <c r="E31" s="376">
        <v>0</v>
      </c>
      <c r="F31" s="376">
        <v>0</v>
      </c>
      <c r="G31" s="376">
        <v>0</v>
      </c>
      <c r="H31" s="376">
        <v>0</v>
      </c>
      <c r="I31" s="376">
        <v>0</v>
      </c>
      <c r="J31" s="376">
        <v>0</v>
      </c>
    </row>
    <row r="32" spans="1:10" ht="15">
      <c r="A32" s="233">
        <v>21</v>
      </c>
      <c r="B32" s="328" t="s">
        <v>890</v>
      </c>
      <c r="C32" s="376">
        <v>0</v>
      </c>
      <c r="D32" s="376">
        <v>0</v>
      </c>
      <c r="E32" s="376">
        <v>0</v>
      </c>
      <c r="F32" s="376">
        <v>0</v>
      </c>
      <c r="G32" s="376">
        <v>0</v>
      </c>
      <c r="H32" s="376">
        <v>0</v>
      </c>
      <c r="I32" s="376">
        <v>0</v>
      </c>
      <c r="J32" s="376">
        <v>0</v>
      </c>
    </row>
    <row r="33" spans="1:10" ht="15">
      <c r="A33" s="233">
        <v>22</v>
      </c>
      <c r="B33" s="328" t="s">
        <v>891</v>
      </c>
      <c r="C33" s="376">
        <v>0</v>
      </c>
      <c r="D33" s="376">
        <v>0</v>
      </c>
      <c r="E33" s="376">
        <v>0</v>
      </c>
      <c r="F33" s="376">
        <v>0</v>
      </c>
      <c r="G33" s="376">
        <v>0</v>
      </c>
      <c r="H33" s="376">
        <v>0</v>
      </c>
      <c r="I33" s="376">
        <v>0</v>
      </c>
      <c r="J33" s="376">
        <v>0</v>
      </c>
    </row>
    <row r="34" spans="1:10" ht="15">
      <c r="A34" s="233">
        <v>23</v>
      </c>
      <c r="B34" s="328" t="s">
        <v>892</v>
      </c>
      <c r="C34" s="376">
        <v>0</v>
      </c>
      <c r="D34" s="376">
        <v>0</v>
      </c>
      <c r="E34" s="376">
        <v>0</v>
      </c>
      <c r="F34" s="376">
        <v>0</v>
      </c>
      <c r="G34" s="376">
        <v>0</v>
      </c>
      <c r="H34" s="376">
        <v>0</v>
      </c>
      <c r="I34" s="376">
        <v>0</v>
      </c>
      <c r="J34" s="376">
        <v>0</v>
      </c>
    </row>
    <row r="35" spans="1:10" ht="15">
      <c r="A35" s="233">
        <v>24</v>
      </c>
      <c r="B35" s="328" t="s">
        <v>893</v>
      </c>
      <c r="C35" s="376">
        <v>0</v>
      </c>
      <c r="D35" s="376">
        <v>0</v>
      </c>
      <c r="E35" s="376">
        <v>0</v>
      </c>
      <c r="F35" s="376">
        <v>0</v>
      </c>
      <c r="G35" s="376">
        <v>0</v>
      </c>
      <c r="H35" s="376">
        <v>0</v>
      </c>
      <c r="I35" s="376">
        <v>0</v>
      </c>
      <c r="J35" s="376">
        <v>0</v>
      </c>
    </row>
    <row r="36" spans="1:10" ht="15">
      <c r="A36" s="233">
        <v>25</v>
      </c>
      <c r="B36" s="328" t="s">
        <v>894</v>
      </c>
      <c r="C36" s="376">
        <v>0</v>
      </c>
      <c r="D36" s="376">
        <v>0</v>
      </c>
      <c r="E36" s="376">
        <v>0</v>
      </c>
      <c r="F36" s="376">
        <v>0</v>
      </c>
      <c r="G36" s="376">
        <v>0</v>
      </c>
      <c r="H36" s="376">
        <v>0</v>
      </c>
      <c r="I36" s="376">
        <v>0</v>
      </c>
      <c r="J36" s="376">
        <v>0</v>
      </c>
    </row>
    <row r="37" spans="1:10" ht="15">
      <c r="A37" s="233">
        <v>26</v>
      </c>
      <c r="B37" s="328" t="s">
        <v>895</v>
      </c>
      <c r="C37" s="376">
        <v>0</v>
      </c>
      <c r="D37" s="376">
        <v>0</v>
      </c>
      <c r="E37" s="376">
        <v>0</v>
      </c>
      <c r="F37" s="376">
        <v>0</v>
      </c>
      <c r="G37" s="376">
        <v>0</v>
      </c>
      <c r="H37" s="376">
        <v>0</v>
      </c>
      <c r="I37" s="376">
        <v>0</v>
      </c>
      <c r="J37" s="376">
        <v>0</v>
      </c>
    </row>
    <row r="38" spans="1:10" ht="15">
      <c r="A38" s="233">
        <v>27</v>
      </c>
      <c r="B38" s="328" t="s">
        <v>896</v>
      </c>
      <c r="C38" s="376">
        <v>0</v>
      </c>
      <c r="D38" s="376">
        <v>0</v>
      </c>
      <c r="E38" s="376">
        <v>0</v>
      </c>
      <c r="F38" s="376">
        <v>0</v>
      </c>
      <c r="G38" s="376">
        <v>0</v>
      </c>
      <c r="H38" s="376">
        <v>0</v>
      </c>
      <c r="I38" s="376">
        <v>0</v>
      </c>
      <c r="J38" s="376">
        <v>0</v>
      </c>
    </row>
    <row r="39" spans="1:10" ht="15">
      <c r="A39" s="233">
        <v>28</v>
      </c>
      <c r="B39" s="328" t="s">
        <v>897</v>
      </c>
      <c r="C39" s="376">
        <v>0</v>
      </c>
      <c r="D39" s="376">
        <v>0</v>
      </c>
      <c r="E39" s="376">
        <v>0</v>
      </c>
      <c r="F39" s="376">
        <v>0</v>
      </c>
      <c r="G39" s="376">
        <v>0</v>
      </c>
      <c r="H39" s="376">
        <v>0</v>
      </c>
      <c r="I39" s="376">
        <v>0</v>
      </c>
      <c r="J39" s="376">
        <v>0</v>
      </c>
    </row>
    <row r="40" spans="1:10" ht="15">
      <c r="A40" s="233">
        <v>29</v>
      </c>
      <c r="B40" s="328" t="s">
        <v>898</v>
      </c>
      <c r="C40" s="376">
        <v>0</v>
      </c>
      <c r="D40" s="376">
        <v>0</v>
      </c>
      <c r="E40" s="376">
        <v>0</v>
      </c>
      <c r="F40" s="376">
        <v>0</v>
      </c>
      <c r="G40" s="376">
        <v>0</v>
      </c>
      <c r="H40" s="376">
        <v>0</v>
      </c>
      <c r="I40" s="376">
        <v>0</v>
      </c>
      <c r="J40" s="376">
        <v>0</v>
      </c>
    </row>
    <row r="41" spans="1:10" ht="15">
      <c r="A41" s="233">
        <v>30</v>
      </c>
      <c r="B41" s="328" t="s">
        <v>899</v>
      </c>
      <c r="C41" s="376">
        <v>0</v>
      </c>
      <c r="D41" s="376">
        <v>0</v>
      </c>
      <c r="E41" s="376">
        <v>0</v>
      </c>
      <c r="F41" s="376">
        <v>0</v>
      </c>
      <c r="G41" s="376">
        <v>0</v>
      </c>
      <c r="H41" s="376">
        <v>0</v>
      </c>
      <c r="I41" s="376">
        <v>0</v>
      </c>
      <c r="J41" s="376">
        <v>0</v>
      </c>
    </row>
    <row r="42" spans="1:10" ht="15">
      <c r="A42" s="233">
        <v>31</v>
      </c>
      <c r="B42" s="328" t="s">
        <v>900</v>
      </c>
      <c r="C42" s="376">
        <v>0</v>
      </c>
      <c r="D42" s="376">
        <v>0</v>
      </c>
      <c r="E42" s="376">
        <v>0</v>
      </c>
      <c r="F42" s="376">
        <v>0</v>
      </c>
      <c r="G42" s="376">
        <v>0</v>
      </c>
      <c r="H42" s="376">
        <v>0</v>
      </c>
      <c r="I42" s="376">
        <v>0</v>
      </c>
      <c r="J42" s="376">
        <v>0</v>
      </c>
    </row>
    <row r="43" spans="1:10" ht="15">
      <c r="A43" s="233">
        <v>32</v>
      </c>
      <c r="B43" s="328" t="s">
        <v>901</v>
      </c>
      <c r="C43" s="376">
        <v>0</v>
      </c>
      <c r="D43" s="376">
        <v>0</v>
      </c>
      <c r="E43" s="376">
        <v>0</v>
      </c>
      <c r="F43" s="376">
        <v>0</v>
      </c>
      <c r="G43" s="376">
        <v>0</v>
      </c>
      <c r="H43" s="376">
        <v>0</v>
      </c>
      <c r="I43" s="376">
        <v>0</v>
      </c>
      <c r="J43" s="376">
        <v>0</v>
      </c>
    </row>
    <row r="44" spans="1:10" ht="15">
      <c r="A44" s="233">
        <v>33</v>
      </c>
      <c r="B44" s="328" t="s">
        <v>902</v>
      </c>
      <c r="C44" s="376">
        <v>0</v>
      </c>
      <c r="D44" s="376">
        <v>0</v>
      </c>
      <c r="E44" s="376">
        <v>0</v>
      </c>
      <c r="F44" s="376">
        <v>0</v>
      </c>
      <c r="G44" s="376">
        <v>0</v>
      </c>
      <c r="H44" s="376">
        <v>0</v>
      </c>
      <c r="I44" s="376">
        <v>0</v>
      </c>
      <c r="J44" s="376">
        <v>0</v>
      </c>
    </row>
    <row r="45" spans="1:10" ht="15">
      <c r="A45" s="233">
        <v>34</v>
      </c>
      <c r="B45" s="328" t="s">
        <v>903</v>
      </c>
      <c r="C45" s="376">
        <v>0</v>
      </c>
      <c r="D45" s="376">
        <v>0</v>
      </c>
      <c r="E45" s="376">
        <v>0</v>
      </c>
      <c r="F45" s="376">
        <v>0</v>
      </c>
      <c r="G45" s="376">
        <v>0</v>
      </c>
      <c r="H45" s="376">
        <v>0</v>
      </c>
      <c r="I45" s="376">
        <v>0</v>
      </c>
      <c r="J45" s="376">
        <v>0</v>
      </c>
    </row>
    <row r="46" spans="1:10" ht="15">
      <c r="A46" s="233">
        <v>35</v>
      </c>
      <c r="B46" s="328" t="s">
        <v>904</v>
      </c>
      <c r="C46" s="376">
        <v>0</v>
      </c>
      <c r="D46" s="376">
        <v>0</v>
      </c>
      <c r="E46" s="376">
        <v>0</v>
      </c>
      <c r="F46" s="376">
        <v>0</v>
      </c>
      <c r="G46" s="376">
        <v>0</v>
      </c>
      <c r="H46" s="376">
        <v>0</v>
      </c>
      <c r="I46" s="376">
        <v>0</v>
      </c>
      <c r="J46" s="376">
        <v>0</v>
      </c>
    </row>
    <row r="47" spans="1:10" ht="15">
      <c r="A47" s="233"/>
      <c r="B47" s="9"/>
      <c r="C47" s="376">
        <v>0</v>
      </c>
      <c r="D47" s="376">
        <v>0</v>
      </c>
      <c r="E47" s="376">
        <v>0</v>
      </c>
      <c r="F47" s="376">
        <v>0</v>
      </c>
      <c r="G47" s="376">
        <v>0</v>
      </c>
      <c r="H47" s="376">
        <v>0</v>
      </c>
      <c r="I47" s="376">
        <v>0</v>
      </c>
      <c r="J47" s="376">
        <v>0</v>
      </c>
    </row>
    <row r="48" spans="1:10" ht="12.75">
      <c r="A48" s="30" t="s">
        <v>19</v>
      </c>
      <c r="B48" s="9"/>
      <c r="C48" s="9"/>
      <c r="D48" s="9"/>
      <c r="E48" s="9"/>
      <c r="F48" s="9"/>
      <c r="G48" s="9"/>
      <c r="H48" s="9"/>
      <c r="I48" s="9"/>
      <c r="J48" s="9"/>
    </row>
    <row r="50" spans="1:8" ht="12.75">
      <c r="A50" s="203"/>
      <c r="B50" s="203"/>
      <c r="C50" s="203"/>
      <c r="D50" s="203"/>
      <c r="E50" s="203"/>
      <c r="H50" s="204"/>
    </row>
    <row r="51" spans="1:9" ht="15" customHeight="1">
      <c r="A51" s="203"/>
      <c r="B51" s="203"/>
      <c r="C51" s="748" t="s">
        <v>1021</v>
      </c>
      <c r="D51" s="748"/>
      <c r="E51" s="748"/>
      <c r="F51" s="83"/>
      <c r="G51" s="748" t="s">
        <v>1024</v>
      </c>
      <c r="H51" s="748"/>
      <c r="I51" s="748"/>
    </row>
    <row r="52" spans="1:9" ht="15" customHeight="1">
      <c r="A52" s="203"/>
      <c r="B52" s="203"/>
      <c r="C52" s="748" t="s">
        <v>1022</v>
      </c>
      <c r="D52" s="748"/>
      <c r="E52" s="748"/>
      <c r="F52" s="83"/>
      <c r="G52" s="748" t="s">
        <v>1025</v>
      </c>
      <c r="H52" s="748"/>
      <c r="I52" s="748"/>
    </row>
    <row r="53" spans="1:9" ht="12.75">
      <c r="A53" s="203" t="s">
        <v>12</v>
      </c>
      <c r="C53" s="735" t="s">
        <v>1023</v>
      </c>
      <c r="D53" s="735"/>
      <c r="E53" s="735"/>
      <c r="F53" s="36"/>
      <c r="G53" s="735" t="s">
        <v>1023</v>
      </c>
      <c r="H53" s="735"/>
      <c r="I53" s="735"/>
    </row>
  </sheetData>
  <sheetProtection/>
  <mergeCells count="22">
    <mergeCell ref="I1:J1"/>
    <mergeCell ref="C5:I5"/>
    <mergeCell ref="D7:D10"/>
    <mergeCell ref="I6:J6"/>
    <mergeCell ref="C2:H2"/>
    <mergeCell ref="B3:H3"/>
    <mergeCell ref="J7:J10"/>
    <mergeCell ref="F8:F10"/>
    <mergeCell ref="G8:G10"/>
    <mergeCell ref="A7:A10"/>
    <mergeCell ref="H8:H10"/>
    <mergeCell ref="I7:I10"/>
    <mergeCell ref="E7:E10"/>
    <mergeCell ref="B7:B10"/>
    <mergeCell ref="C7:C10"/>
    <mergeCell ref="F7:H7"/>
    <mergeCell ref="C51:E51"/>
    <mergeCell ref="C52:E52"/>
    <mergeCell ref="C53:E53"/>
    <mergeCell ref="G51:I51"/>
    <mergeCell ref="G52:I52"/>
    <mergeCell ref="G53:I53"/>
  </mergeCells>
  <printOptions horizontalCentered="1"/>
  <pageMargins left="0.7086614173228347" right="0.7086614173228347" top="0.2362204724409449" bottom="0" header="0.21" footer="0.27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80" zoomScaleSheetLayoutView="8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0" sqref="C50:F50"/>
    </sheetView>
  </sheetViews>
  <sheetFormatPr defaultColWidth="9.140625" defaultRowHeight="12.75"/>
  <cols>
    <col min="2" max="2" width="18.57421875" style="0" bestFit="1" customWidth="1"/>
    <col min="6" max="6" width="11.57421875" style="0" customWidth="1"/>
    <col min="7" max="7" width="10.421875" style="0" customWidth="1"/>
    <col min="8" max="8" width="20.28125" style="0" customWidth="1"/>
    <col min="9" max="9" width="10.421875" style="0" customWidth="1"/>
    <col min="10" max="10" width="22.8515625" style="0" customWidth="1"/>
  </cols>
  <sheetData>
    <row r="1" spans="1:10" ht="18">
      <c r="A1" s="801" t="s">
        <v>0</v>
      </c>
      <c r="B1" s="801"/>
      <c r="C1" s="801"/>
      <c r="D1" s="801"/>
      <c r="E1" s="801"/>
      <c r="F1" s="801"/>
      <c r="G1" s="801"/>
      <c r="H1" s="801"/>
      <c r="I1" s="226"/>
      <c r="J1" s="293" t="s">
        <v>569</v>
      </c>
    </row>
    <row r="2" spans="1:10" ht="21">
      <c r="A2" s="802" t="s">
        <v>656</v>
      </c>
      <c r="B2" s="802"/>
      <c r="C2" s="802"/>
      <c r="D2" s="802"/>
      <c r="E2" s="802"/>
      <c r="F2" s="802"/>
      <c r="G2" s="802"/>
      <c r="H2" s="802"/>
      <c r="I2" s="802"/>
      <c r="J2" s="802"/>
    </row>
    <row r="3" spans="1:9" ht="15">
      <c r="A3" s="196"/>
      <c r="B3" s="196"/>
      <c r="C3" s="196"/>
      <c r="D3" s="196"/>
      <c r="E3" s="196"/>
      <c r="F3" s="196"/>
      <c r="G3" s="196"/>
      <c r="H3" s="196"/>
      <c r="I3" s="196"/>
    </row>
    <row r="4" spans="1:9" ht="18">
      <c r="A4" s="801" t="s">
        <v>568</v>
      </c>
      <c r="B4" s="801"/>
      <c r="C4" s="801"/>
      <c r="D4" s="801"/>
      <c r="E4" s="801"/>
      <c r="F4" s="801"/>
      <c r="G4" s="801"/>
      <c r="H4" s="801"/>
      <c r="I4" s="801"/>
    </row>
    <row r="5" spans="1:9" ht="15">
      <c r="A5" s="15" t="s">
        <v>1020</v>
      </c>
      <c r="B5" s="197"/>
      <c r="C5" s="197"/>
      <c r="D5" s="197"/>
      <c r="E5" s="197"/>
      <c r="F5" s="197"/>
      <c r="G5" s="197"/>
      <c r="H5" s="197"/>
      <c r="I5" s="196" t="s">
        <v>820</v>
      </c>
    </row>
    <row r="6" spans="1:10" ht="25.5" customHeight="1">
      <c r="A6" s="917" t="s">
        <v>2</v>
      </c>
      <c r="B6" s="917" t="s">
        <v>404</v>
      </c>
      <c r="C6" s="709" t="s">
        <v>405</v>
      </c>
      <c r="D6" s="709"/>
      <c r="E6" s="709"/>
      <c r="F6" s="918" t="s">
        <v>408</v>
      </c>
      <c r="G6" s="919"/>
      <c r="H6" s="919"/>
      <c r="I6" s="920"/>
      <c r="J6" s="915" t="s">
        <v>412</v>
      </c>
    </row>
    <row r="7" spans="1:10" ht="63" customHeight="1">
      <c r="A7" s="917"/>
      <c r="B7" s="917"/>
      <c r="C7" s="39" t="s">
        <v>101</v>
      </c>
      <c r="D7" s="39" t="s">
        <v>406</v>
      </c>
      <c r="E7" s="39" t="s">
        <v>407</v>
      </c>
      <c r="F7" s="229" t="s">
        <v>409</v>
      </c>
      <c r="G7" s="229" t="s">
        <v>410</v>
      </c>
      <c r="H7" s="229" t="s">
        <v>411</v>
      </c>
      <c r="I7" s="229" t="s">
        <v>47</v>
      </c>
      <c r="J7" s="916"/>
    </row>
    <row r="8" spans="1:10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279</v>
      </c>
      <c r="G8" s="200" t="s">
        <v>298</v>
      </c>
      <c r="H8" s="200" t="s">
        <v>299</v>
      </c>
      <c r="I8" s="200" t="s">
        <v>300</v>
      </c>
      <c r="J8" s="200" t="s">
        <v>328</v>
      </c>
    </row>
    <row r="9" spans="1:10" ht="15">
      <c r="A9" s="200">
        <v>1</v>
      </c>
      <c r="B9" s="328" t="s">
        <v>870</v>
      </c>
      <c r="C9" s="329">
        <v>0</v>
      </c>
      <c r="D9" s="329">
        <v>0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329">
        <v>0</v>
      </c>
    </row>
    <row r="10" spans="1:10" ht="15">
      <c r="A10" s="200">
        <v>2</v>
      </c>
      <c r="B10" s="328" t="s">
        <v>871</v>
      </c>
      <c r="C10" s="329">
        <v>0</v>
      </c>
      <c r="D10" s="329">
        <v>0</v>
      </c>
      <c r="E10" s="329">
        <v>0</v>
      </c>
      <c r="F10" s="329">
        <v>0</v>
      </c>
      <c r="G10" s="329">
        <v>0</v>
      </c>
      <c r="H10" s="329">
        <v>0</v>
      </c>
      <c r="I10" s="329">
        <v>0</v>
      </c>
      <c r="J10" s="329">
        <v>0</v>
      </c>
    </row>
    <row r="11" spans="1:10" ht="15">
      <c r="A11" s="200">
        <v>3</v>
      </c>
      <c r="B11" s="328" t="s">
        <v>872</v>
      </c>
      <c r="C11" s="329">
        <v>0</v>
      </c>
      <c r="D11" s="380">
        <v>0</v>
      </c>
      <c r="E11" s="380">
        <v>0</v>
      </c>
      <c r="F11" s="380">
        <v>0</v>
      </c>
      <c r="G11" s="380">
        <v>0</v>
      </c>
      <c r="H11" s="380">
        <v>0</v>
      </c>
      <c r="I11" s="380">
        <v>0</v>
      </c>
      <c r="J11" s="380">
        <v>0</v>
      </c>
    </row>
    <row r="12" spans="1:10" ht="15">
      <c r="A12" s="200">
        <v>4</v>
      </c>
      <c r="B12" s="328" t="s">
        <v>873</v>
      </c>
      <c r="C12" s="329">
        <v>0</v>
      </c>
      <c r="D12" s="380">
        <v>0</v>
      </c>
      <c r="E12" s="380">
        <v>0</v>
      </c>
      <c r="F12" s="380">
        <v>0</v>
      </c>
      <c r="G12" s="380">
        <v>0</v>
      </c>
      <c r="H12" s="380">
        <v>0</v>
      </c>
      <c r="I12" s="380">
        <v>0</v>
      </c>
      <c r="J12" s="380">
        <v>0</v>
      </c>
    </row>
    <row r="13" spans="1:10" ht="15">
      <c r="A13" s="200">
        <v>5</v>
      </c>
      <c r="B13" s="328" t="s">
        <v>874</v>
      </c>
      <c r="C13" s="329">
        <v>0</v>
      </c>
      <c r="D13" s="329">
        <v>0</v>
      </c>
      <c r="E13" s="329">
        <v>0</v>
      </c>
      <c r="F13" s="329">
        <v>0</v>
      </c>
      <c r="G13" s="329">
        <v>0</v>
      </c>
      <c r="H13" s="329">
        <v>0</v>
      </c>
      <c r="I13" s="329">
        <v>0</v>
      </c>
      <c r="J13" s="329">
        <v>0</v>
      </c>
    </row>
    <row r="14" spans="1:10" ht="15">
      <c r="A14" s="200">
        <v>6</v>
      </c>
      <c r="B14" s="328" t="s">
        <v>875</v>
      </c>
      <c r="C14" s="329">
        <v>0</v>
      </c>
      <c r="D14" s="329">
        <v>0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329">
        <v>0</v>
      </c>
    </row>
    <row r="15" spans="1:10" ht="15">
      <c r="A15" s="200">
        <v>7</v>
      </c>
      <c r="B15" s="328" t="s">
        <v>876</v>
      </c>
      <c r="C15" s="329">
        <v>0</v>
      </c>
      <c r="D15" s="329">
        <v>0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329">
        <v>0</v>
      </c>
    </row>
    <row r="16" spans="1:10" ht="15">
      <c r="A16" s="200">
        <v>8</v>
      </c>
      <c r="B16" s="328" t="s">
        <v>877</v>
      </c>
      <c r="C16" s="329">
        <v>0</v>
      </c>
      <c r="D16" s="329">
        <v>0</v>
      </c>
      <c r="E16" s="329">
        <v>0</v>
      </c>
      <c r="F16" s="329">
        <v>0</v>
      </c>
      <c r="G16" s="329">
        <v>0</v>
      </c>
      <c r="H16" s="329">
        <v>0</v>
      </c>
      <c r="I16" s="329">
        <v>0</v>
      </c>
      <c r="J16" s="329">
        <v>0</v>
      </c>
    </row>
    <row r="17" spans="1:10" ht="15">
      <c r="A17" s="200">
        <v>9</v>
      </c>
      <c r="B17" s="328" t="s">
        <v>878</v>
      </c>
      <c r="C17" s="329">
        <v>0</v>
      </c>
      <c r="D17" s="329">
        <v>0</v>
      </c>
      <c r="E17" s="329">
        <v>0</v>
      </c>
      <c r="F17" s="329">
        <v>0</v>
      </c>
      <c r="G17" s="329">
        <v>0</v>
      </c>
      <c r="H17" s="329">
        <v>0</v>
      </c>
      <c r="I17" s="329">
        <v>0</v>
      </c>
      <c r="J17" s="329">
        <v>0</v>
      </c>
    </row>
    <row r="18" spans="1:10" ht="15">
      <c r="A18" s="200">
        <v>10</v>
      </c>
      <c r="B18" s="328" t="s">
        <v>879</v>
      </c>
      <c r="C18" s="329">
        <v>0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  <c r="I18" s="329">
        <v>0</v>
      </c>
      <c r="J18" s="329">
        <v>0</v>
      </c>
    </row>
    <row r="19" spans="1:10" ht="15">
      <c r="A19" s="200">
        <v>11</v>
      </c>
      <c r="B19" s="328" t="s">
        <v>880</v>
      </c>
      <c r="C19" s="329">
        <v>0</v>
      </c>
      <c r="D19" s="329">
        <v>0</v>
      </c>
      <c r="E19" s="329">
        <v>0</v>
      </c>
      <c r="F19" s="329">
        <v>0</v>
      </c>
      <c r="G19" s="329">
        <v>0</v>
      </c>
      <c r="H19" s="329">
        <v>0</v>
      </c>
      <c r="I19" s="329">
        <v>0</v>
      </c>
      <c r="J19" s="329">
        <v>0</v>
      </c>
    </row>
    <row r="20" spans="1:10" ht="15">
      <c r="A20" s="200">
        <v>12</v>
      </c>
      <c r="B20" s="328" t="s">
        <v>881</v>
      </c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  <c r="I20" s="329">
        <v>0</v>
      </c>
      <c r="J20" s="329">
        <v>0</v>
      </c>
    </row>
    <row r="21" spans="1:10" ht="15">
      <c r="A21" s="200">
        <v>13</v>
      </c>
      <c r="B21" s="328" t="s">
        <v>882</v>
      </c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  <c r="I21" s="329">
        <v>0</v>
      </c>
      <c r="J21" s="329">
        <v>0</v>
      </c>
    </row>
    <row r="22" spans="1:10" ht="15">
      <c r="A22" s="200">
        <v>14</v>
      </c>
      <c r="B22" s="328" t="s">
        <v>883</v>
      </c>
      <c r="C22" s="329">
        <v>0</v>
      </c>
      <c r="D22" s="329">
        <v>0</v>
      </c>
      <c r="E22" s="329">
        <v>0</v>
      </c>
      <c r="F22" s="329">
        <v>0</v>
      </c>
      <c r="G22" s="329">
        <v>0</v>
      </c>
      <c r="H22" s="329">
        <v>0</v>
      </c>
      <c r="I22" s="329">
        <v>0</v>
      </c>
      <c r="J22" s="329">
        <v>0</v>
      </c>
    </row>
    <row r="23" spans="1:10" ht="15">
      <c r="A23" s="200">
        <v>15</v>
      </c>
      <c r="B23" s="328" t="s">
        <v>884</v>
      </c>
      <c r="C23" s="329">
        <v>0</v>
      </c>
      <c r="D23" s="329">
        <v>0</v>
      </c>
      <c r="E23" s="329">
        <v>0</v>
      </c>
      <c r="F23" s="329">
        <v>0</v>
      </c>
      <c r="G23" s="329">
        <v>0</v>
      </c>
      <c r="H23" s="329">
        <v>0</v>
      </c>
      <c r="I23" s="329">
        <v>0</v>
      </c>
      <c r="J23" s="329">
        <v>0</v>
      </c>
    </row>
    <row r="24" spans="1:10" ht="15">
      <c r="A24" s="200">
        <v>16</v>
      </c>
      <c r="B24" s="328" t="s">
        <v>885</v>
      </c>
      <c r="C24" s="329">
        <v>0</v>
      </c>
      <c r="D24" s="380">
        <v>0</v>
      </c>
      <c r="E24" s="380">
        <v>0</v>
      </c>
      <c r="F24" s="380">
        <v>0</v>
      </c>
      <c r="G24" s="380">
        <v>0</v>
      </c>
      <c r="H24" s="380">
        <v>0</v>
      </c>
      <c r="I24" s="380">
        <v>0</v>
      </c>
      <c r="J24" s="380">
        <v>0</v>
      </c>
    </row>
    <row r="25" spans="1:10" ht="15">
      <c r="A25" s="200">
        <v>17</v>
      </c>
      <c r="B25" s="328" t="s">
        <v>886</v>
      </c>
      <c r="C25" s="329">
        <v>0</v>
      </c>
      <c r="D25" s="329">
        <v>0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</row>
    <row r="26" spans="1:10" ht="15">
      <c r="A26" s="200">
        <v>18</v>
      </c>
      <c r="B26" s="328" t="s">
        <v>887</v>
      </c>
      <c r="C26" s="329">
        <v>0</v>
      </c>
      <c r="D26" s="380">
        <v>31</v>
      </c>
      <c r="E26" s="380">
        <v>2849</v>
      </c>
      <c r="F26" s="380">
        <v>0</v>
      </c>
      <c r="G26" s="380">
        <v>0</v>
      </c>
      <c r="H26" s="380">
        <v>2849</v>
      </c>
      <c r="I26" s="380">
        <v>0</v>
      </c>
      <c r="J26" s="380">
        <v>1289.1</v>
      </c>
    </row>
    <row r="27" spans="1:10" ht="15">
      <c r="A27" s="200">
        <v>19</v>
      </c>
      <c r="B27" s="328" t="s">
        <v>888</v>
      </c>
      <c r="C27" s="329">
        <v>0</v>
      </c>
      <c r="D27" s="329">
        <v>0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</row>
    <row r="28" spans="1:10" ht="15">
      <c r="A28" s="200">
        <v>20</v>
      </c>
      <c r="B28" s="328" t="s">
        <v>889</v>
      </c>
      <c r="C28" s="329">
        <v>0</v>
      </c>
      <c r="D28" s="380">
        <v>0</v>
      </c>
      <c r="E28" s="380">
        <v>0</v>
      </c>
      <c r="F28" s="380">
        <v>0</v>
      </c>
      <c r="G28" s="380">
        <v>0</v>
      </c>
      <c r="H28" s="380">
        <v>0</v>
      </c>
      <c r="I28" s="380">
        <v>0</v>
      </c>
      <c r="J28" s="380">
        <v>0</v>
      </c>
    </row>
    <row r="29" spans="1:10" ht="15">
      <c r="A29" s="200">
        <v>21</v>
      </c>
      <c r="B29" s="328" t="s">
        <v>890</v>
      </c>
      <c r="C29" s="329">
        <v>0</v>
      </c>
      <c r="D29" s="329">
        <v>0</v>
      </c>
      <c r="E29" s="329">
        <v>0</v>
      </c>
      <c r="F29" s="329">
        <v>0</v>
      </c>
      <c r="G29" s="329">
        <v>0</v>
      </c>
      <c r="H29" s="329">
        <v>0</v>
      </c>
      <c r="I29" s="329">
        <v>0</v>
      </c>
      <c r="J29" s="329">
        <v>0</v>
      </c>
    </row>
    <row r="30" spans="1:10" ht="15">
      <c r="A30" s="200">
        <v>22</v>
      </c>
      <c r="B30" s="328" t="s">
        <v>891</v>
      </c>
      <c r="C30" s="329">
        <v>0</v>
      </c>
      <c r="D30" s="380">
        <v>0</v>
      </c>
      <c r="E30" s="380">
        <v>0</v>
      </c>
      <c r="F30" s="380">
        <v>0</v>
      </c>
      <c r="G30" s="380">
        <v>0</v>
      </c>
      <c r="H30" s="380">
        <v>0</v>
      </c>
      <c r="I30" s="380">
        <v>0</v>
      </c>
      <c r="J30" s="380">
        <v>0</v>
      </c>
    </row>
    <row r="31" spans="1:10" ht="15">
      <c r="A31" s="200">
        <v>23</v>
      </c>
      <c r="B31" s="328" t="s">
        <v>892</v>
      </c>
      <c r="C31" s="329">
        <v>0</v>
      </c>
      <c r="D31" s="329">
        <v>0</v>
      </c>
      <c r="E31" s="329">
        <v>0</v>
      </c>
      <c r="F31" s="329">
        <v>0</v>
      </c>
      <c r="G31" s="329">
        <v>0</v>
      </c>
      <c r="H31" s="329">
        <v>0</v>
      </c>
      <c r="I31" s="329">
        <v>0</v>
      </c>
      <c r="J31" s="329">
        <v>0</v>
      </c>
    </row>
    <row r="32" spans="1:10" ht="15">
      <c r="A32" s="200">
        <v>24</v>
      </c>
      <c r="B32" s="328" t="s">
        <v>893</v>
      </c>
      <c r="C32" s="329">
        <v>0</v>
      </c>
      <c r="D32" s="329">
        <v>0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</row>
    <row r="33" spans="1:10" ht="15">
      <c r="A33" s="200">
        <v>25</v>
      </c>
      <c r="B33" s="328" t="s">
        <v>894</v>
      </c>
      <c r="C33" s="329">
        <v>0</v>
      </c>
      <c r="D33" s="329">
        <v>0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</row>
    <row r="34" spans="1:10" ht="15">
      <c r="A34" s="200">
        <v>26</v>
      </c>
      <c r="B34" s="328" t="s">
        <v>895</v>
      </c>
      <c r="C34" s="329">
        <v>0</v>
      </c>
      <c r="D34" s="329">
        <v>0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</row>
    <row r="35" spans="1:10" ht="15">
      <c r="A35" s="200">
        <v>27</v>
      </c>
      <c r="B35" s="328" t="s">
        <v>896</v>
      </c>
      <c r="C35" s="329">
        <v>0</v>
      </c>
      <c r="D35" s="329">
        <v>0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</row>
    <row r="36" spans="1:10" ht="15">
      <c r="A36" s="200">
        <v>28</v>
      </c>
      <c r="B36" s="328" t="s">
        <v>897</v>
      </c>
      <c r="C36" s="329">
        <v>0</v>
      </c>
      <c r="D36" s="380">
        <v>0</v>
      </c>
      <c r="E36" s="380">
        <v>0</v>
      </c>
      <c r="F36" s="380">
        <v>0</v>
      </c>
      <c r="G36" s="380">
        <v>0</v>
      </c>
      <c r="H36" s="380">
        <v>0</v>
      </c>
      <c r="I36" s="380">
        <v>0</v>
      </c>
      <c r="J36" s="380">
        <v>0</v>
      </c>
    </row>
    <row r="37" spans="1:10" ht="15">
      <c r="A37" s="200">
        <v>29</v>
      </c>
      <c r="B37" s="328" t="s">
        <v>898</v>
      </c>
      <c r="C37" s="329">
        <v>0</v>
      </c>
      <c r="D37" s="329">
        <v>0</v>
      </c>
      <c r="E37" s="329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</row>
    <row r="38" spans="1:10" ht="15">
      <c r="A38" s="200">
        <v>30</v>
      </c>
      <c r="B38" s="328" t="s">
        <v>899</v>
      </c>
      <c r="C38" s="329">
        <v>0</v>
      </c>
      <c r="D38" s="329">
        <v>0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</row>
    <row r="39" spans="1:10" ht="15">
      <c r="A39" s="200">
        <v>31</v>
      </c>
      <c r="B39" s="328" t="s">
        <v>900</v>
      </c>
      <c r="C39" s="329">
        <v>0</v>
      </c>
      <c r="D39" s="329">
        <v>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</row>
    <row r="40" spans="1:10" ht="15">
      <c r="A40" s="200">
        <v>32</v>
      </c>
      <c r="B40" s="328" t="s">
        <v>901</v>
      </c>
      <c r="C40" s="329">
        <v>0</v>
      </c>
      <c r="D40" s="329">
        <v>0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</row>
    <row r="41" spans="1:13" ht="15">
      <c r="A41" s="200">
        <v>33</v>
      </c>
      <c r="B41" s="328" t="s">
        <v>902</v>
      </c>
      <c r="C41" s="329">
        <v>0</v>
      </c>
      <c r="D41" s="329">
        <v>0</v>
      </c>
      <c r="E41" s="329">
        <v>0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M41" s="16" t="s">
        <v>413</v>
      </c>
    </row>
    <row r="42" spans="1:10" ht="15">
      <c r="A42" s="200">
        <v>34</v>
      </c>
      <c r="B42" s="328" t="s">
        <v>903</v>
      </c>
      <c r="C42" s="329">
        <v>0</v>
      </c>
      <c r="D42" s="329">
        <v>0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</row>
    <row r="43" spans="1:10" ht="15">
      <c r="A43" s="200">
        <v>35</v>
      </c>
      <c r="B43" s="328" t="s">
        <v>904</v>
      </c>
      <c r="C43" s="329">
        <v>0</v>
      </c>
      <c r="D43" s="329">
        <v>0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</row>
    <row r="44" spans="1:10" ht="12.75">
      <c r="A44" s="9"/>
      <c r="B44" s="9"/>
      <c r="C44" s="30">
        <f>SUM(C9:C43)</f>
        <v>0</v>
      </c>
      <c r="D44" s="30">
        <f aca="true" t="shared" si="0" ref="D44:J44">SUM(D9:D43)</f>
        <v>31</v>
      </c>
      <c r="E44" s="30">
        <f t="shared" si="0"/>
        <v>2849</v>
      </c>
      <c r="F44" s="30">
        <f t="shared" si="0"/>
        <v>0</v>
      </c>
      <c r="G44" s="30">
        <f t="shared" si="0"/>
        <v>0</v>
      </c>
      <c r="H44" s="30">
        <f t="shared" si="0"/>
        <v>2849</v>
      </c>
      <c r="I44" s="30">
        <f t="shared" si="0"/>
        <v>0</v>
      </c>
      <c r="J44" s="30">
        <f t="shared" si="0"/>
        <v>1289.1</v>
      </c>
    </row>
    <row r="45" spans="1:10" ht="12.75">
      <c r="A45" s="9"/>
      <c r="B45" s="9"/>
      <c r="C45" s="9"/>
      <c r="D45" s="9"/>
      <c r="E45" s="9"/>
      <c r="F45" s="9"/>
      <c r="G45" s="9"/>
      <c r="H45" s="9"/>
      <c r="I45" s="9"/>
      <c r="J45" s="9"/>
    </row>
    <row r="48" spans="1:10" ht="12.75" customHeight="1">
      <c r="A48" s="203"/>
      <c r="B48" s="203"/>
      <c r="C48" s="748" t="s">
        <v>1021</v>
      </c>
      <c r="D48" s="748"/>
      <c r="E48" s="748"/>
      <c r="F48" s="748"/>
      <c r="H48" s="748" t="s">
        <v>1024</v>
      </c>
      <c r="I48" s="748"/>
      <c r="J48" s="748"/>
    </row>
    <row r="49" spans="1:10" ht="12.75" customHeight="1">
      <c r="A49" s="203"/>
      <c r="B49" s="203"/>
      <c r="C49" s="748" t="s">
        <v>1022</v>
      </c>
      <c r="D49" s="748"/>
      <c r="E49" s="748"/>
      <c r="F49" s="748"/>
      <c r="H49" s="748" t="s">
        <v>1025</v>
      </c>
      <c r="I49" s="748"/>
      <c r="J49" s="748"/>
    </row>
    <row r="50" spans="1:10" ht="12.75" customHeight="1">
      <c r="A50" s="203"/>
      <c r="B50" s="203"/>
      <c r="C50" s="735" t="s">
        <v>1023</v>
      </c>
      <c r="D50" s="735"/>
      <c r="E50" s="735"/>
      <c r="F50" s="735"/>
      <c r="H50" s="735" t="s">
        <v>1023</v>
      </c>
      <c r="I50" s="735"/>
      <c r="J50" s="735"/>
    </row>
    <row r="51" spans="1:10" ht="12.75">
      <c r="A51" s="203" t="s">
        <v>12</v>
      </c>
      <c r="C51" s="203"/>
      <c r="D51" s="203"/>
      <c r="J51" s="205"/>
    </row>
  </sheetData>
  <sheetProtection/>
  <mergeCells count="14">
    <mergeCell ref="J6:J7"/>
    <mergeCell ref="A1:H1"/>
    <mergeCell ref="A2:J2"/>
    <mergeCell ref="A4:I4"/>
    <mergeCell ref="A6:A7"/>
    <mergeCell ref="B6:B7"/>
    <mergeCell ref="C6:E6"/>
    <mergeCell ref="F6:I6"/>
    <mergeCell ref="H48:J48"/>
    <mergeCell ref="H49:J49"/>
    <mergeCell ref="H50:J50"/>
    <mergeCell ref="C48:F48"/>
    <mergeCell ref="C49:F49"/>
    <mergeCell ref="C50:F50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7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80" zoomScaleSheetLayoutView="80" zoomScalePageLayoutView="0" workbookViewId="0" topLeftCell="A16">
      <selection activeCell="F30" sqref="F30:H30"/>
    </sheetView>
  </sheetViews>
  <sheetFormatPr defaultColWidth="9.140625" defaultRowHeight="12.75"/>
  <cols>
    <col min="1" max="1" width="5.28125" style="203" customWidth="1"/>
    <col min="2" max="2" width="8.57421875" style="203" customWidth="1"/>
    <col min="3" max="3" width="32.140625" style="203" customWidth="1"/>
    <col min="4" max="4" width="15.140625" style="203" customWidth="1"/>
    <col min="5" max="6" width="11.7109375" style="203" customWidth="1"/>
    <col min="7" max="7" width="13.7109375" style="203" customWidth="1"/>
    <col min="8" max="8" width="20.140625" style="203" customWidth="1"/>
    <col min="9" max="16384" width="9.140625" style="203" customWidth="1"/>
  </cols>
  <sheetData>
    <row r="1" spans="1:8" ht="12.75">
      <c r="A1" s="203" t="s">
        <v>11</v>
      </c>
      <c r="H1" s="218" t="s">
        <v>571</v>
      </c>
    </row>
    <row r="2" spans="1:8" s="207" customFormat="1" ht="15.75">
      <c r="A2" s="850" t="s">
        <v>0</v>
      </c>
      <c r="B2" s="850"/>
      <c r="C2" s="850"/>
      <c r="D2" s="850"/>
      <c r="E2" s="850"/>
      <c r="F2" s="850"/>
      <c r="G2" s="850"/>
      <c r="H2" s="850"/>
    </row>
    <row r="3" spans="1:8" s="207" customFormat="1" ht="20.25" customHeight="1">
      <c r="A3" s="851" t="s">
        <v>656</v>
      </c>
      <c r="B3" s="851"/>
      <c r="C3" s="851"/>
      <c r="D3" s="851"/>
      <c r="E3" s="851"/>
      <c r="F3" s="851"/>
      <c r="G3" s="851"/>
      <c r="H3" s="851"/>
    </row>
    <row r="5" spans="1:8" s="207" customFormat="1" ht="15.75">
      <c r="A5" s="929" t="s">
        <v>570</v>
      </c>
      <c r="B5" s="929"/>
      <c r="C5" s="929"/>
      <c r="D5" s="929"/>
      <c r="E5" s="929"/>
      <c r="F5" s="929"/>
      <c r="G5" s="929"/>
      <c r="H5" s="930"/>
    </row>
    <row r="7" spans="1:7" ht="12.75">
      <c r="A7" s="208" t="s">
        <v>1020</v>
      </c>
      <c r="B7" s="208"/>
      <c r="C7" s="209"/>
      <c r="D7" s="210"/>
      <c r="E7" s="210"/>
      <c r="F7" s="210"/>
      <c r="G7" s="210"/>
    </row>
    <row r="9" spans="1:7" ht="13.5" customHeight="1">
      <c r="A9" s="219"/>
      <c r="B9" s="219"/>
      <c r="C9" s="219"/>
      <c r="D9" s="219"/>
      <c r="E9" s="219"/>
      <c r="F9" s="219"/>
      <c r="G9" s="219"/>
    </row>
    <row r="10" spans="1:8" s="211" customFormat="1" ht="12.75">
      <c r="A10" s="203"/>
      <c r="B10" s="203"/>
      <c r="C10" s="203"/>
      <c r="D10" s="203"/>
      <c r="E10" s="203"/>
      <c r="F10" s="203"/>
      <c r="G10" s="203"/>
      <c r="H10" s="124"/>
    </row>
    <row r="11" spans="1:8" s="211" customFormat="1" ht="39.75" customHeight="1">
      <c r="A11" s="212"/>
      <c r="B11" s="921" t="s">
        <v>292</v>
      </c>
      <c r="C11" s="921" t="s">
        <v>293</v>
      </c>
      <c r="D11" s="923" t="s">
        <v>294</v>
      </c>
      <c r="E11" s="924"/>
      <c r="F11" s="924"/>
      <c r="G11" s="925"/>
      <c r="H11" s="921" t="s">
        <v>78</v>
      </c>
    </row>
    <row r="12" spans="1:8" s="211" customFormat="1" ht="25.5">
      <c r="A12" s="213"/>
      <c r="B12" s="922"/>
      <c r="C12" s="922"/>
      <c r="D12" s="220" t="s">
        <v>295</v>
      </c>
      <c r="E12" s="220" t="s">
        <v>296</v>
      </c>
      <c r="F12" s="220" t="s">
        <v>297</v>
      </c>
      <c r="G12" s="220" t="s">
        <v>19</v>
      </c>
      <c r="H12" s="922"/>
    </row>
    <row r="13" spans="1:8" s="211" customFormat="1" ht="15">
      <c r="A13" s="213"/>
      <c r="B13" s="221" t="s">
        <v>272</v>
      </c>
      <c r="C13" s="221" t="s">
        <v>273</v>
      </c>
      <c r="D13" s="221" t="s">
        <v>274</v>
      </c>
      <c r="E13" s="221" t="s">
        <v>275</v>
      </c>
      <c r="F13" s="221" t="s">
        <v>276</v>
      </c>
      <c r="G13" s="221" t="s">
        <v>277</v>
      </c>
      <c r="H13" s="221" t="s">
        <v>278</v>
      </c>
    </row>
    <row r="14" spans="2:8" s="222" customFormat="1" ht="15" customHeight="1">
      <c r="B14" s="223" t="s">
        <v>29</v>
      </c>
      <c r="C14" s="926" t="s">
        <v>301</v>
      </c>
      <c r="D14" s="927"/>
      <c r="E14" s="927"/>
      <c r="F14" s="927"/>
      <c r="G14" s="927"/>
      <c r="H14" s="928"/>
    </row>
    <row r="15" spans="2:8" ht="12.75">
      <c r="B15" s="215"/>
      <c r="C15" s="225" t="s">
        <v>949</v>
      </c>
      <c r="D15" s="215">
        <v>1</v>
      </c>
      <c r="E15" s="145">
        <v>0</v>
      </c>
      <c r="F15" s="145">
        <v>0</v>
      </c>
      <c r="G15" s="145">
        <v>1</v>
      </c>
      <c r="H15" s="144"/>
    </row>
    <row r="16" spans="2:8" s="135" customFormat="1" ht="12.75">
      <c r="B16" s="144"/>
      <c r="C16" s="225" t="s">
        <v>950</v>
      </c>
      <c r="D16" s="144">
        <v>0</v>
      </c>
      <c r="E16" s="144">
        <v>34</v>
      </c>
      <c r="F16" s="144">
        <v>0</v>
      </c>
      <c r="G16" s="144">
        <v>34</v>
      </c>
      <c r="H16" s="138"/>
    </row>
    <row r="17" spans="2:8" s="135" customFormat="1" ht="12.75">
      <c r="B17" s="144"/>
      <c r="C17" s="225" t="s">
        <v>951</v>
      </c>
      <c r="D17" s="144">
        <v>2</v>
      </c>
      <c r="E17" s="144">
        <v>0</v>
      </c>
      <c r="F17" s="144">
        <v>358</v>
      </c>
      <c r="G17" s="144">
        <v>360</v>
      </c>
      <c r="H17" s="138"/>
    </row>
    <row r="18" spans="2:8" s="135" customFormat="1" ht="12.75">
      <c r="B18" s="144"/>
      <c r="C18" s="225"/>
      <c r="D18" s="144">
        <v>3</v>
      </c>
      <c r="E18" s="144">
        <v>34</v>
      </c>
      <c r="F18" s="144">
        <v>358</v>
      </c>
      <c r="G18" s="144">
        <v>395</v>
      </c>
      <c r="H18" s="138"/>
    </row>
    <row r="19" spans="2:8" s="135" customFormat="1" ht="21.75" customHeight="1">
      <c r="B19" s="223" t="s">
        <v>33</v>
      </c>
      <c r="C19" s="926" t="s">
        <v>480</v>
      </c>
      <c r="D19" s="927"/>
      <c r="E19" s="927"/>
      <c r="F19" s="927"/>
      <c r="G19" s="927"/>
      <c r="H19" s="928"/>
    </row>
    <row r="20" spans="1:8" s="135" customFormat="1" ht="12.75">
      <c r="A20" s="217" t="s">
        <v>291</v>
      </c>
      <c r="B20" s="216"/>
      <c r="C20" s="224" t="s">
        <v>913</v>
      </c>
      <c r="D20" s="216">
        <v>10</v>
      </c>
      <c r="E20" s="216">
        <v>40</v>
      </c>
      <c r="F20" s="216">
        <v>370</v>
      </c>
      <c r="G20" s="216">
        <v>420</v>
      </c>
      <c r="H20" s="138"/>
    </row>
    <row r="21" spans="2:8" ht="12.75">
      <c r="B21" s="144"/>
      <c r="C21" s="225">
        <v>2</v>
      </c>
      <c r="D21" s="144"/>
      <c r="E21" s="144"/>
      <c r="F21" s="144"/>
      <c r="G21" s="144"/>
      <c r="H21" s="144"/>
    </row>
    <row r="22" spans="2:8" ht="12.75">
      <c r="B22" s="144"/>
      <c r="C22" s="225">
        <v>3</v>
      </c>
      <c r="D22" s="144"/>
      <c r="E22" s="144"/>
      <c r="F22" s="144"/>
      <c r="G22" s="144"/>
      <c r="H22" s="144"/>
    </row>
    <row r="23" spans="2:8" ht="12.75">
      <c r="B23" s="144"/>
      <c r="C23" s="225">
        <v>4</v>
      </c>
      <c r="D23" s="144"/>
      <c r="E23" s="144"/>
      <c r="F23" s="144"/>
      <c r="G23" s="144"/>
      <c r="H23" s="144"/>
    </row>
    <row r="24" spans="2:8" ht="12.75">
      <c r="B24" s="144"/>
      <c r="C24" s="225"/>
      <c r="D24" s="144"/>
      <c r="E24" s="144"/>
      <c r="F24" s="144"/>
      <c r="G24" s="144"/>
      <c r="H24" s="144"/>
    </row>
    <row r="25" spans="2:8" ht="12.75">
      <c r="B25" s="144"/>
      <c r="C25" s="144"/>
      <c r="D25" s="144"/>
      <c r="E25" s="144"/>
      <c r="F25" s="144"/>
      <c r="G25" s="144"/>
      <c r="H25" s="144"/>
    </row>
    <row r="26" spans="2:8" ht="12.75">
      <c r="B26" s="211"/>
      <c r="C26" s="211"/>
      <c r="D26" s="336"/>
      <c r="E26" s="336"/>
      <c r="F26" s="336"/>
      <c r="G26" s="336"/>
      <c r="H26" s="211"/>
    </row>
    <row r="27" spans="2:8" ht="12.75">
      <c r="B27" s="211"/>
      <c r="C27" s="211"/>
      <c r="D27" s="211"/>
      <c r="E27" s="211"/>
      <c r="F27" s="211"/>
      <c r="G27" s="211"/>
      <c r="H27" s="211"/>
    </row>
    <row r="28" spans="2:8" ht="12.75" customHeight="1">
      <c r="B28" s="211"/>
      <c r="C28" s="748" t="s">
        <v>1021</v>
      </c>
      <c r="D28" s="748"/>
      <c r="E28" s="83"/>
      <c r="F28" s="748" t="s">
        <v>1024</v>
      </c>
      <c r="G28" s="748"/>
      <c r="H28" s="748"/>
    </row>
    <row r="29" spans="3:8" ht="12.75" customHeight="1">
      <c r="C29" s="748" t="s">
        <v>1022</v>
      </c>
      <c r="D29" s="748"/>
      <c r="E29" s="83"/>
      <c r="F29" s="748" t="s">
        <v>1025</v>
      </c>
      <c r="G29" s="748"/>
      <c r="H29" s="748"/>
    </row>
    <row r="30" spans="3:8" ht="12.75" customHeight="1">
      <c r="C30" s="735" t="s">
        <v>1023</v>
      </c>
      <c r="D30" s="735"/>
      <c r="E30" s="36"/>
      <c r="F30" s="735" t="s">
        <v>1023</v>
      </c>
      <c r="G30" s="735"/>
      <c r="H30" s="735"/>
    </row>
    <row r="31" spans="4:7" ht="12.75" customHeight="1">
      <c r="D31" s="217"/>
      <c r="E31" s="217"/>
      <c r="F31" s="217"/>
      <c r="G31" s="217"/>
    </row>
    <row r="32" ht="12.75">
      <c r="B32" s="203" t="s">
        <v>12</v>
      </c>
    </row>
  </sheetData>
  <sheetProtection/>
  <mergeCells count="15">
    <mergeCell ref="C19:H19"/>
    <mergeCell ref="A2:H2"/>
    <mergeCell ref="A3:H3"/>
    <mergeCell ref="A5:H5"/>
    <mergeCell ref="F29:H29"/>
    <mergeCell ref="F30:H30"/>
    <mergeCell ref="B11:B12"/>
    <mergeCell ref="C11:C12"/>
    <mergeCell ref="D11:G11"/>
    <mergeCell ref="C28:D28"/>
    <mergeCell ref="C29:D29"/>
    <mergeCell ref="C30:D30"/>
    <mergeCell ref="F28:H28"/>
    <mergeCell ref="H11:H12"/>
    <mergeCell ref="C14:H14"/>
  </mergeCells>
  <printOptions horizontalCentered="1"/>
  <pageMargins left="0.7086614173228347" right="0.7086614173228347" top="0.49" bottom="0" header="0.27" footer="0.31496062992125984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SheetLayoutView="100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51" sqref="F51:G51"/>
    </sheetView>
  </sheetViews>
  <sheetFormatPr defaultColWidth="9.140625" defaultRowHeight="12.75"/>
  <cols>
    <col min="1" max="1" width="8.28125" style="0" customWidth="1"/>
    <col min="2" max="2" width="15.57421875" style="0" customWidth="1"/>
    <col min="3" max="3" width="17.28125" style="0" customWidth="1"/>
    <col min="4" max="4" width="21.00390625" style="0" customWidth="1"/>
    <col min="5" max="5" width="21.140625" style="0" customWidth="1"/>
    <col min="6" max="6" width="20.7109375" style="0" customWidth="1"/>
    <col min="7" max="7" width="23.57421875" style="0" customWidth="1"/>
  </cols>
  <sheetData>
    <row r="1" spans="1:7" ht="18">
      <c r="A1" s="801" t="s">
        <v>0</v>
      </c>
      <c r="B1" s="801"/>
      <c r="C1" s="801"/>
      <c r="D1" s="801"/>
      <c r="E1" s="801"/>
      <c r="F1" s="801"/>
      <c r="G1" s="194" t="s">
        <v>710</v>
      </c>
    </row>
    <row r="2" spans="1:7" ht="21">
      <c r="A2" s="802" t="s">
        <v>656</v>
      </c>
      <c r="B2" s="802"/>
      <c r="C2" s="802"/>
      <c r="D2" s="802"/>
      <c r="E2" s="802"/>
      <c r="F2" s="802"/>
      <c r="G2" s="802"/>
    </row>
    <row r="3" spans="1:2" ht="15">
      <c r="A3" s="196"/>
      <c r="B3" s="196"/>
    </row>
    <row r="4" spans="1:7" ht="18" customHeight="1">
      <c r="A4" s="803" t="s">
        <v>711</v>
      </c>
      <c r="B4" s="803"/>
      <c r="C4" s="803"/>
      <c r="D4" s="803"/>
      <c r="E4" s="803"/>
      <c r="F4" s="803"/>
      <c r="G4" s="803"/>
    </row>
    <row r="5" spans="1:3" ht="12.75">
      <c r="A5" s="208" t="s">
        <v>1020</v>
      </c>
      <c r="B5" s="208"/>
      <c r="C5" s="209"/>
    </row>
    <row r="6" spans="1:7" ht="15">
      <c r="A6" s="197"/>
      <c r="B6" s="197"/>
      <c r="F6" s="804" t="s">
        <v>820</v>
      </c>
      <c r="G6" s="804"/>
    </row>
    <row r="7" spans="1:7" ht="59.25" customHeight="1">
      <c r="A7" s="198" t="s">
        <v>2</v>
      </c>
      <c r="B7" s="298" t="s">
        <v>3</v>
      </c>
      <c r="C7" s="302" t="s">
        <v>712</v>
      </c>
      <c r="D7" s="302" t="s">
        <v>713</v>
      </c>
      <c r="E7" s="302" t="s">
        <v>714</v>
      </c>
      <c r="F7" s="302" t="s">
        <v>715</v>
      </c>
      <c r="G7" s="302" t="s">
        <v>716</v>
      </c>
    </row>
    <row r="8" spans="1:7" s="194" customFormat="1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</row>
    <row r="9" spans="1:7" ht="12.75">
      <c r="A9" s="9">
        <v>1</v>
      </c>
      <c r="B9" s="328" t="s">
        <v>870</v>
      </c>
      <c r="C9" s="201">
        <f>'AT-3'!F9</f>
        <v>4538</v>
      </c>
      <c r="D9" s="201">
        <v>88</v>
      </c>
      <c r="E9" s="201">
        <v>44</v>
      </c>
      <c r="F9" s="201">
        <v>22</v>
      </c>
      <c r="G9" s="201">
        <v>500</v>
      </c>
    </row>
    <row r="10" spans="1:7" ht="12.75">
      <c r="A10" s="9">
        <v>2</v>
      </c>
      <c r="B10" s="328" t="s">
        <v>871</v>
      </c>
      <c r="C10" s="201">
        <f>'AT-3'!F10</f>
        <v>1430</v>
      </c>
      <c r="D10" s="201">
        <v>715</v>
      </c>
      <c r="E10" s="201">
        <v>0</v>
      </c>
      <c r="F10" s="201">
        <v>0</v>
      </c>
      <c r="G10" s="201">
        <v>715</v>
      </c>
    </row>
    <row r="11" spans="1:7" ht="12.75">
      <c r="A11" s="9">
        <v>3</v>
      </c>
      <c r="B11" s="328" t="s">
        <v>872</v>
      </c>
      <c r="C11" s="201">
        <f>'AT-3'!F11</f>
        <v>2401</v>
      </c>
      <c r="D11" s="201">
        <v>192</v>
      </c>
      <c r="E11" s="201">
        <v>0</v>
      </c>
      <c r="F11" s="201">
        <v>0</v>
      </c>
      <c r="G11" s="201">
        <v>250</v>
      </c>
    </row>
    <row r="12" spans="1:7" ht="12.75">
      <c r="A12" s="9">
        <v>4</v>
      </c>
      <c r="B12" s="328" t="s">
        <v>873</v>
      </c>
      <c r="C12" s="201">
        <f>'AT-3'!F12</f>
        <v>2981</v>
      </c>
      <c r="D12" s="201">
        <v>1056</v>
      </c>
      <c r="E12" s="201">
        <v>55</v>
      </c>
      <c r="F12" s="201">
        <v>0</v>
      </c>
      <c r="G12" s="201">
        <v>1056</v>
      </c>
    </row>
    <row r="13" spans="1:7" ht="12.75">
      <c r="A13" s="9">
        <v>5</v>
      </c>
      <c r="B13" s="328" t="s">
        <v>874</v>
      </c>
      <c r="C13" s="201">
        <f>'AT-3'!F13</f>
        <v>3224</v>
      </c>
      <c r="D13" s="201">
        <v>546</v>
      </c>
      <c r="E13" s="201">
        <v>246</v>
      </c>
      <c r="F13" s="201">
        <v>128</v>
      </c>
      <c r="G13" s="201">
        <v>200</v>
      </c>
    </row>
    <row r="14" spans="1:7" ht="12.75">
      <c r="A14" s="9">
        <v>6</v>
      </c>
      <c r="B14" s="328" t="s">
        <v>875</v>
      </c>
      <c r="C14" s="201">
        <f>'AT-3'!F14</f>
        <v>1132</v>
      </c>
      <c r="D14" s="201">
        <v>845</v>
      </c>
      <c r="E14" s="201">
        <v>365</v>
      </c>
      <c r="F14" s="201">
        <v>250</v>
      </c>
      <c r="G14" s="201">
        <v>230</v>
      </c>
    </row>
    <row r="15" spans="1:7" ht="12.75">
      <c r="A15" s="9">
        <v>7</v>
      </c>
      <c r="B15" s="328" t="s">
        <v>876</v>
      </c>
      <c r="C15" s="201">
        <f>'AT-3'!F15</f>
        <v>2013</v>
      </c>
      <c r="D15" s="201">
        <v>450</v>
      </c>
      <c r="E15" s="201">
        <v>126</v>
      </c>
      <c r="F15" s="201">
        <v>100</v>
      </c>
      <c r="G15" s="201">
        <v>224</v>
      </c>
    </row>
    <row r="16" spans="1:7" ht="12.75">
      <c r="A16" s="9">
        <v>8</v>
      </c>
      <c r="B16" s="328" t="s">
        <v>877</v>
      </c>
      <c r="C16" s="201">
        <f>'AT-3'!F16</f>
        <v>2035</v>
      </c>
      <c r="D16" s="201">
        <v>900</v>
      </c>
      <c r="E16" s="201">
        <v>325</v>
      </c>
      <c r="F16" s="201">
        <v>180</v>
      </c>
      <c r="G16" s="201">
        <v>395</v>
      </c>
    </row>
    <row r="17" spans="1:7" ht="12.75">
      <c r="A17" s="9">
        <v>9</v>
      </c>
      <c r="B17" s="328" t="s">
        <v>878</v>
      </c>
      <c r="C17" s="201">
        <f>'AT-3'!F17</f>
        <v>1682</v>
      </c>
      <c r="D17" s="201">
        <v>200</v>
      </c>
      <c r="E17" s="201">
        <v>12</v>
      </c>
      <c r="F17" s="201">
        <v>0</v>
      </c>
      <c r="G17" s="201">
        <v>250</v>
      </c>
    </row>
    <row r="18" spans="1:7" ht="12.75">
      <c r="A18" s="9">
        <v>10</v>
      </c>
      <c r="B18" s="328" t="s">
        <v>879</v>
      </c>
      <c r="C18" s="201">
        <f>'AT-3'!F18</f>
        <v>1799</v>
      </c>
      <c r="D18" s="201">
        <v>61</v>
      </c>
      <c r="E18" s="201">
        <v>12</v>
      </c>
      <c r="F18" s="201">
        <v>22</v>
      </c>
      <c r="G18" s="201">
        <v>100</v>
      </c>
    </row>
    <row r="19" spans="1:7" ht="12.75">
      <c r="A19" s="9">
        <v>11</v>
      </c>
      <c r="B19" s="328" t="s">
        <v>880</v>
      </c>
      <c r="C19" s="201">
        <f>'AT-3'!F19</f>
        <v>1374</v>
      </c>
      <c r="D19" s="201">
        <v>56</v>
      </c>
      <c r="E19" s="201">
        <v>1051</v>
      </c>
      <c r="F19" s="201">
        <v>29</v>
      </c>
      <c r="G19" s="201">
        <v>100</v>
      </c>
    </row>
    <row r="20" spans="1:7" ht="12.75">
      <c r="A20" s="9">
        <v>12</v>
      </c>
      <c r="B20" s="328" t="s">
        <v>881</v>
      </c>
      <c r="C20" s="201">
        <f>'AT-3'!F20</f>
        <v>1032</v>
      </c>
      <c r="D20" s="201">
        <v>161</v>
      </c>
      <c r="E20" s="201">
        <v>19</v>
      </c>
      <c r="F20" s="201">
        <v>22</v>
      </c>
      <c r="G20" s="201">
        <v>250</v>
      </c>
    </row>
    <row r="21" spans="1:7" ht="12.75">
      <c r="A21" s="9">
        <v>13</v>
      </c>
      <c r="B21" s="328" t="s">
        <v>882</v>
      </c>
      <c r="C21" s="201">
        <f>'AT-3'!F21</f>
        <v>2748</v>
      </c>
      <c r="D21" s="201">
        <v>700</v>
      </c>
      <c r="E21" s="201">
        <v>189</v>
      </c>
      <c r="F21" s="201">
        <v>241</v>
      </c>
      <c r="G21" s="201">
        <v>270</v>
      </c>
    </row>
    <row r="22" spans="1:7" ht="12.75">
      <c r="A22" s="9">
        <v>14</v>
      </c>
      <c r="B22" s="328" t="s">
        <v>883</v>
      </c>
      <c r="C22" s="201">
        <f>'AT-3'!F22</f>
        <v>1923</v>
      </c>
      <c r="D22" s="201">
        <v>1687</v>
      </c>
      <c r="E22" s="201">
        <v>265</v>
      </c>
      <c r="F22" s="201">
        <v>831</v>
      </c>
      <c r="G22" s="201">
        <v>591</v>
      </c>
    </row>
    <row r="23" spans="1:7" ht="12.75">
      <c r="A23" s="9">
        <v>15</v>
      </c>
      <c r="B23" s="328" t="s">
        <v>884</v>
      </c>
      <c r="C23" s="201">
        <f>'AT-3'!F23</f>
        <v>3061</v>
      </c>
      <c r="D23" s="201">
        <v>1200</v>
      </c>
      <c r="E23" s="201">
        <v>324</v>
      </c>
      <c r="F23" s="201">
        <v>400</v>
      </c>
      <c r="G23" s="201">
        <v>800</v>
      </c>
    </row>
    <row r="24" spans="1:7" ht="12.75">
      <c r="A24" s="9">
        <v>16</v>
      </c>
      <c r="B24" s="328" t="s">
        <v>885</v>
      </c>
      <c r="C24" s="201">
        <f>'AT-3'!F24</f>
        <v>2137</v>
      </c>
      <c r="D24" s="201">
        <v>325</v>
      </c>
      <c r="E24" s="201">
        <v>142</v>
      </c>
      <c r="F24" s="201">
        <v>100</v>
      </c>
      <c r="G24" s="201">
        <v>250</v>
      </c>
    </row>
    <row r="25" spans="1:7" ht="12.75">
      <c r="A25" s="9">
        <v>17</v>
      </c>
      <c r="B25" s="328" t="s">
        <v>886</v>
      </c>
      <c r="C25" s="201">
        <f>'AT-3'!F25</f>
        <v>2389</v>
      </c>
      <c r="D25" s="201">
        <v>0</v>
      </c>
      <c r="E25" s="201">
        <v>0</v>
      </c>
      <c r="F25" s="201">
        <v>0</v>
      </c>
      <c r="G25" s="201">
        <v>0</v>
      </c>
    </row>
    <row r="26" spans="1:7" ht="12.75">
      <c r="A26" s="9">
        <v>18</v>
      </c>
      <c r="B26" s="328" t="s">
        <v>887</v>
      </c>
      <c r="C26" s="201">
        <f>'AT-3'!F26</f>
        <v>2849</v>
      </c>
      <c r="D26" s="201">
        <v>250</v>
      </c>
      <c r="E26" s="201">
        <v>63</v>
      </c>
      <c r="F26" s="201">
        <v>0</v>
      </c>
      <c r="G26" s="201">
        <v>250</v>
      </c>
    </row>
    <row r="27" spans="1:7" ht="12.75">
      <c r="A27" s="9">
        <v>19</v>
      </c>
      <c r="B27" s="328" t="s">
        <v>888</v>
      </c>
      <c r="C27" s="201">
        <f>'AT-3'!F27</f>
        <v>3021</v>
      </c>
      <c r="D27" s="201">
        <v>750</v>
      </c>
      <c r="E27" s="201">
        <v>245</v>
      </c>
      <c r="F27" s="201">
        <v>200</v>
      </c>
      <c r="G27" s="201">
        <v>305</v>
      </c>
    </row>
    <row r="28" spans="1:7" ht="12.75">
      <c r="A28" s="9">
        <v>20</v>
      </c>
      <c r="B28" s="328" t="s">
        <v>889</v>
      </c>
      <c r="C28" s="201">
        <f>'AT-3'!F28</f>
        <v>1705</v>
      </c>
      <c r="D28" s="201">
        <v>500</v>
      </c>
      <c r="E28" s="201">
        <v>208</v>
      </c>
      <c r="F28" s="201">
        <v>135</v>
      </c>
      <c r="G28" s="201">
        <v>200</v>
      </c>
    </row>
    <row r="29" spans="1:7" ht="12.75">
      <c r="A29" s="9">
        <v>21</v>
      </c>
      <c r="B29" s="328" t="s">
        <v>890</v>
      </c>
      <c r="C29" s="201">
        <f>'AT-3'!F29</f>
        <v>4449</v>
      </c>
      <c r="D29" s="201">
        <v>1780</v>
      </c>
      <c r="E29" s="201">
        <v>756</v>
      </c>
      <c r="F29" s="201">
        <v>445</v>
      </c>
      <c r="G29" s="201">
        <v>667</v>
      </c>
    </row>
    <row r="30" spans="1:7" ht="12.75">
      <c r="A30" s="9">
        <v>22</v>
      </c>
      <c r="B30" s="328" t="s">
        <v>891</v>
      </c>
      <c r="C30" s="201">
        <f>'AT-3'!F30</f>
        <v>1548</v>
      </c>
      <c r="D30" s="201">
        <v>1477</v>
      </c>
      <c r="E30" s="201">
        <v>90</v>
      </c>
      <c r="F30" s="201">
        <v>0</v>
      </c>
      <c r="G30" s="201">
        <v>500</v>
      </c>
    </row>
    <row r="31" spans="1:7" ht="12.75">
      <c r="A31" s="9">
        <v>23</v>
      </c>
      <c r="B31" s="328" t="s">
        <v>892</v>
      </c>
      <c r="C31" s="201">
        <f>'AT-3'!F31</f>
        <v>1583</v>
      </c>
      <c r="D31" s="201">
        <v>400</v>
      </c>
      <c r="E31" s="201">
        <v>50</v>
      </c>
      <c r="F31" s="201">
        <v>0</v>
      </c>
      <c r="G31" s="201">
        <v>200</v>
      </c>
    </row>
    <row r="32" spans="1:7" ht="12.75">
      <c r="A32" s="9">
        <v>24</v>
      </c>
      <c r="B32" s="328" t="s">
        <v>893</v>
      </c>
      <c r="C32" s="201">
        <f>'AT-3'!F32</f>
        <v>5432</v>
      </c>
      <c r="D32" s="201">
        <v>1889</v>
      </c>
      <c r="E32" s="201">
        <v>89</v>
      </c>
      <c r="F32" s="201">
        <v>0</v>
      </c>
      <c r="G32" s="201">
        <v>775</v>
      </c>
    </row>
    <row r="33" spans="1:7" ht="12.75">
      <c r="A33" s="9">
        <v>25</v>
      </c>
      <c r="B33" s="328" t="s">
        <v>894</v>
      </c>
      <c r="C33" s="201">
        <f>'AT-3'!F33</f>
        <v>3208</v>
      </c>
      <c r="D33" s="201">
        <v>890</v>
      </c>
      <c r="E33" s="201">
        <v>495</v>
      </c>
      <c r="F33" s="201">
        <v>241</v>
      </c>
      <c r="G33" s="201">
        <v>200</v>
      </c>
    </row>
    <row r="34" spans="1:7" ht="12.75">
      <c r="A34" s="9">
        <v>26</v>
      </c>
      <c r="B34" s="328" t="s">
        <v>895</v>
      </c>
      <c r="C34" s="201">
        <f>'AT-3'!F34</f>
        <v>3076</v>
      </c>
      <c r="D34" s="201">
        <v>1000</v>
      </c>
      <c r="E34" s="201">
        <v>325</v>
      </c>
      <c r="F34" s="201">
        <v>158</v>
      </c>
      <c r="G34" s="201">
        <v>517</v>
      </c>
    </row>
    <row r="35" spans="1:7" ht="12.75">
      <c r="A35" s="9">
        <v>27</v>
      </c>
      <c r="B35" s="328" t="s">
        <v>896</v>
      </c>
      <c r="C35" s="201">
        <f>'AT-3'!F35</f>
        <v>2515</v>
      </c>
      <c r="D35" s="201">
        <v>737</v>
      </c>
      <c r="E35" s="201">
        <v>183</v>
      </c>
      <c r="F35" s="201">
        <v>0</v>
      </c>
      <c r="G35" s="9">
        <v>250</v>
      </c>
    </row>
    <row r="36" spans="1:7" ht="12.75">
      <c r="A36" s="9">
        <v>28</v>
      </c>
      <c r="B36" s="328" t="s">
        <v>897</v>
      </c>
      <c r="C36" s="201">
        <f>'AT-3'!F36</f>
        <v>3436</v>
      </c>
      <c r="D36" s="201">
        <v>1147</v>
      </c>
      <c r="E36" s="201">
        <v>397</v>
      </c>
      <c r="F36" s="201">
        <v>1</v>
      </c>
      <c r="G36" s="9">
        <v>450</v>
      </c>
    </row>
    <row r="37" spans="1:7" ht="12.75">
      <c r="A37" s="9">
        <v>29</v>
      </c>
      <c r="B37" s="328" t="s">
        <v>898</v>
      </c>
      <c r="C37" s="201">
        <f>'AT-3'!F37</f>
        <v>1670</v>
      </c>
      <c r="D37" s="201">
        <v>501</v>
      </c>
      <c r="E37" s="201">
        <v>417</v>
      </c>
      <c r="F37" s="201">
        <v>200</v>
      </c>
      <c r="G37" s="9">
        <v>225</v>
      </c>
    </row>
    <row r="38" spans="1:7" ht="12.75">
      <c r="A38" s="9">
        <v>30</v>
      </c>
      <c r="B38" s="328" t="s">
        <v>899</v>
      </c>
      <c r="C38" s="201">
        <f>'AT-3'!F38</f>
        <v>4073</v>
      </c>
      <c r="D38" s="201">
        <v>3646</v>
      </c>
      <c r="E38" s="201">
        <v>1210</v>
      </c>
      <c r="F38" s="201">
        <v>599</v>
      </c>
      <c r="G38" s="9">
        <v>500</v>
      </c>
    </row>
    <row r="39" spans="1:7" ht="12.75">
      <c r="A39" s="9">
        <v>31</v>
      </c>
      <c r="B39" s="328" t="s">
        <v>900</v>
      </c>
      <c r="C39" s="201">
        <f>'AT-3'!F39</f>
        <v>2785</v>
      </c>
      <c r="D39" s="201">
        <v>2507</v>
      </c>
      <c r="E39" s="201">
        <v>28</v>
      </c>
      <c r="F39" s="201">
        <v>0</v>
      </c>
      <c r="G39" s="9">
        <v>251</v>
      </c>
    </row>
    <row r="40" spans="1:7" ht="12.75">
      <c r="A40" s="9">
        <v>32</v>
      </c>
      <c r="B40" s="328" t="s">
        <v>901</v>
      </c>
      <c r="C40" s="201">
        <f>'AT-3'!F40</f>
        <v>2393</v>
      </c>
      <c r="D40" s="201">
        <v>863</v>
      </c>
      <c r="E40" s="201">
        <v>713</v>
      </c>
      <c r="F40" s="201">
        <v>0</v>
      </c>
      <c r="G40" s="9">
        <v>250</v>
      </c>
    </row>
    <row r="41" spans="1:7" ht="12.75">
      <c r="A41" s="9">
        <v>33</v>
      </c>
      <c r="B41" s="328" t="s">
        <v>902</v>
      </c>
      <c r="C41" s="201">
        <f>'AT-3'!F41</f>
        <v>1246</v>
      </c>
      <c r="D41" s="201">
        <v>499</v>
      </c>
      <c r="E41" s="201">
        <v>62</v>
      </c>
      <c r="F41" s="201">
        <v>87</v>
      </c>
      <c r="G41" s="9">
        <v>250</v>
      </c>
    </row>
    <row r="42" spans="1:7" ht="12.75">
      <c r="A42" s="9">
        <v>34</v>
      </c>
      <c r="B42" s="328" t="s">
        <v>903</v>
      </c>
      <c r="C42" s="201">
        <f>'AT-3'!F42</f>
        <v>1110</v>
      </c>
      <c r="D42" s="201">
        <v>99</v>
      </c>
      <c r="E42" s="201">
        <v>2</v>
      </c>
      <c r="F42" s="201">
        <v>0</v>
      </c>
      <c r="G42" s="9">
        <v>200</v>
      </c>
    </row>
    <row r="43" spans="1:7" ht="12.75">
      <c r="A43" s="9">
        <v>35</v>
      </c>
      <c r="B43" s="328" t="s">
        <v>904</v>
      </c>
      <c r="C43" s="201">
        <f>'AT-3'!F43</f>
        <v>2782</v>
      </c>
      <c r="D43" s="201">
        <v>550</v>
      </c>
      <c r="E43" s="201">
        <v>202</v>
      </c>
      <c r="F43" s="201">
        <v>150</v>
      </c>
      <c r="G43" s="9">
        <v>300</v>
      </c>
    </row>
    <row r="44" spans="1:7" ht="12.75">
      <c r="A44" s="9"/>
      <c r="B44" s="9"/>
      <c r="C44" s="576">
        <f>SUM(C9:C43)</f>
        <v>86780</v>
      </c>
      <c r="D44" s="576">
        <v>28667</v>
      </c>
      <c r="E44" s="576">
        <v>8710</v>
      </c>
      <c r="F44" s="576">
        <v>4541</v>
      </c>
      <c r="G44" s="576">
        <v>12471</v>
      </c>
    </row>
    <row r="45" spans="1:7" ht="12.75">
      <c r="A45" s="9"/>
      <c r="B45" s="9"/>
      <c r="C45" s="201"/>
      <c r="D45" s="201"/>
      <c r="E45" s="201"/>
      <c r="F45" s="201"/>
      <c r="G45" s="201"/>
    </row>
    <row r="46" spans="1:7" ht="12.75">
      <c r="A46" s="9"/>
      <c r="B46" s="9"/>
      <c r="C46" s="201"/>
      <c r="D46" s="201"/>
      <c r="E46" s="201"/>
      <c r="F46" s="201"/>
      <c r="G46" s="201"/>
    </row>
    <row r="49" spans="3:7" ht="12.75">
      <c r="C49" s="748" t="s">
        <v>1021</v>
      </c>
      <c r="D49" s="748"/>
      <c r="E49" s="83"/>
      <c r="F49" s="748" t="s">
        <v>1024</v>
      </c>
      <c r="G49" s="748"/>
    </row>
    <row r="50" spans="3:7" ht="12.75" customHeight="1">
      <c r="C50" s="748" t="s">
        <v>1022</v>
      </c>
      <c r="D50" s="748"/>
      <c r="E50" s="83"/>
      <c r="F50" s="748" t="s">
        <v>1025</v>
      </c>
      <c r="G50" s="748"/>
    </row>
    <row r="51" spans="1:9" ht="15" customHeight="1">
      <c r="A51" s="303"/>
      <c r="B51" s="303"/>
      <c r="C51" s="735" t="s">
        <v>1023</v>
      </c>
      <c r="D51" s="735"/>
      <c r="E51" s="36"/>
      <c r="F51" s="735" t="s">
        <v>1023</v>
      </c>
      <c r="G51" s="735"/>
      <c r="I51" s="304"/>
    </row>
    <row r="52" spans="1:9" ht="15" customHeight="1">
      <c r="A52" s="303"/>
      <c r="B52" s="303"/>
      <c r="C52" s="303"/>
      <c r="D52" s="303"/>
      <c r="E52" s="303"/>
      <c r="F52" s="320"/>
      <c r="G52" s="320"/>
      <c r="H52" s="304"/>
      <c r="I52" s="304"/>
    </row>
    <row r="53" spans="1:9" ht="15" customHeight="1">
      <c r="A53" s="303"/>
      <c r="B53" s="303"/>
      <c r="C53" s="303"/>
      <c r="D53" s="303"/>
      <c r="E53" s="303"/>
      <c r="F53" s="217"/>
      <c r="G53" s="217"/>
      <c r="H53" s="217"/>
      <c r="I53" s="217"/>
    </row>
    <row r="54" spans="1:9" ht="12.75">
      <c r="A54" s="303" t="s">
        <v>12</v>
      </c>
      <c r="C54" s="303"/>
      <c r="D54" s="303"/>
      <c r="E54" s="303"/>
      <c r="F54" s="931"/>
      <c r="G54" s="931"/>
      <c r="H54" s="303"/>
      <c r="I54" s="303"/>
    </row>
    <row r="55" spans="1:13" ht="12.7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</row>
  </sheetData>
  <sheetProtection/>
  <mergeCells count="11">
    <mergeCell ref="A1:F1"/>
    <mergeCell ref="A2:G2"/>
    <mergeCell ref="A4:G4"/>
    <mergeCell ref="F6:G6"/>
    <mergeCell ref="C49:D49"/>
    <mergeCell ref="C50:D50"/>
    <mergeCell ref="C51:D51"/>
    <mergeCell ref="F49:G49"/>
    <mergeCell ref="F50:G50"/>
    <mergeCell ref="F51:G51"/>
    <mergeCell ref="F54:G54"/>
  </mergeCells>
  <printOptions horizontalCentered="1"/>
  <pageMargins left="0.7086614173228347" right="0.7086614173228347" top="0.41" bottom="0" header="0.31496062992125984" footer="0.22"/>
  <pageSetup fitToHeight="1" fitToWidth="1" horizontalDpi="600" verticalDpi="600" orientation="landscape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view="pageBreakPreview" zoomScaleSheetLayoutView="100" zoomScalePageLayoutView="0" workbookViewId="0" topLeftCell="A1">
      <pane xSplit="3" ySplit="9" topLeftCell="D3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5" sqref="A45:IV45"/>
    </sheetView>
  </sheetViews>
  <sheetFormatPr defaultColWidth="9.140625" defaultRowHeight="12.75"/>
  <cols>
    <col min="1" max="1" width="8.28125" style="0" customWidth="1"/>
    <col min="2" max="2" width="11.421875" style="0" bestFit="1" customWidth="1"/>
    <col min="3" max="3" width="8.7109375" style="0" customWidth="1"/>
    <col min="4" max="4" width="12.7109375" style="0" customWidth="1"/>
    <col min="5" max="5" width="10.57421875" style="0" customWidth="1"/>
    <col min="6" max="6" width="12.421875" style="0" customWidth="1"/>
    <col min="7" max="7" width="7.57421875" style="0" customWidth="1"/>
    <col min="8" max="8" width="7.8515625" style="0" customWidth="1"/>
    <col min="9" max="9" width="10.00390625" style="0" customWidth="1"/>
    <col min="12" max="12" width="10.8515625" style="0" customWidth="1"/>
  </cols>
  <sheetData>
    <row r="1" spans="1:15" ht="18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934" t="s">
        <v>843</v>
      </c>
      <c r="O1" s="934"/>
    </row>
    <row r="2" spans="1:14" ht="21">
      <c r="A2" s="802" t="s">
        <v>656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</row>
    <row r="3" spans="1:2" ht="15">
      <c r="A3" s="196"/>
      <c r="B3" s="196"/>
    </row>
    <row r="4" spans="1:14" ht="18" customHeight="1">
      <c r="A4" s="803" t="s">
        <v>861</v>
      </c>
      <c r="B4" s="803"/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</row>
    <row r="5" spans="1:3" ht="12.75">
      <c r="A5" s="208" t="s">
        <v>1020</v>
      </c>
      <c r="B5" s="208"/>
      <c r="C5" s="209"/>
    </row>
    <row r="6" spans="1:15" ht="15">
      <c r="A6" s="197"/>
      <c r="B6" s="197"/>
      <c r="M6" s="842" t="s">
        <v>820</v>
      </c>
      <c r="N6" s="842"/>
      <c r="O6" s="842"/>
    </row>
    <row r="7" spans="1:15" ht="59.25" customHeight="1">
      <c r="A7" s="917" t="s">
        <v>2</v>
      </c>
      <c r="B7" s="917" t="s">
        <v>3</v>
      </c>
      <c r="C7" s="935" t="s">
        <v>844</v>
      </c>
      <c r="D7" s="932" t="s">
        <v>845</v>
      </c>
      <c r="E7" s="932" t="s">
        <v>846</v>
      </c>
      <c r="F7" s="932" t="s">
        <v>847</v>
      </c>
      <c r="G7" s="932" t="s">
        <v>848</v>
      </c>
      <c r="H7" s="932"/>
      <c r="I7" s="932"/>
      <c r="J7" s="932"/>
      <c r="K7" s="932"/>
      <c r="L7" s="932" t="s">
        <v>849</v>
      </c>
      <c r="M7" s="932" t="s">
        <v>850</v>
      </c>
      <c r="N7" s="932"/>
      <c r="O7" s="932"/>
    </row>
    <row r="8" spans="1:15" s="194" customFormat="1" ht="15.75" customHeight="1">
      <c r="A8" s="917"/>
      <c r="B8" s="917"/>
      <c r="C8" s="936"/>
      <c r="D8" s="932"/>
      <c r="E8" s="932"/>
      <c r="F8" s="932"/>
      <c r="G8" s="932" t="s">
        <v>851</v>
      </c>
      <c r="H8" s="932"/>
      <c r="I8" s="932" t="s">
        <v>852</v>
      </c>
      <c r="J8" s="932" t="s">
        <v>853</v>
      </c>
      <c r="K8" s="932" t="s">
        <v>854</v>
      </c>
      <c r="L8" s="932"/>
      <c r="M8" s="932" t="s">
        <v>93</v>
      </c>
      <c r="N8" s="932" t="s">
        <v>855</v>
      </c>
      <c r="O8" s="932" t="s">
        <v>856</v>
      </c>
    </row>
    <row r="9" spans="1:15" ht="12.75" customHeight="1">
      <c r="A9" s="917"/>
      <c r="B9" s="917"/>
      <c r="C9" s="937"/>
      <c r="D9" s="932"/>
      <c r="E9" s="932"/>
      <c r="F9" s="932"/>
      <c r="G9" s="319" t="s">
        <v>857</v>
      </c>
      <c r="H9" s="319" t="s">
        <v>858</v>
      </c>
      <c r="I9" s="932"/>
      <c r="J9" s="932"/>
      <c r="K9" s="932"/>
      <c r="L9" s="932"/>
      <c r="M9" s="932"/>
      <c r="N9" s="932"/>
      <c r="O9" s="932"/>
    </row>
    <row r="10" spans="1:15" ht="12.75" customHeight="1">
      <c r="A10" s="229">
        <v>1</v>
      </c>
      <c r="B10" s="328" t="s">
        <v>870</v>
      </c>
      <c r="C10" s="321">
        <f>'AT-3'!F9</f>
        <v>4538</v>
      </c>
      <c r="D10" s="322">
        <v>4538</v>
      </c>
      <c r="E10" s="322">
        <v>4538</v>
      </c>
      <c r="F10" s="322">
        <v>908</v>
      </c>
      <c r="G10" s="322">
        <v>897</v>
      </c>
      <c r="H10" s="322">
        <v>11</v>
      </c>
      <c r="I10" s="322">
        <v>0</v>
      </c>
      <c r="J10" s="322">
        <v>0</v>
      </c>
      <c r="K10" s="322">
        <v>0</v>
      </c>
      <c r="L10" s="322">
        <v>0</v>
      </c>
      <c r="M10" s="322">
        <v>709</v>
      </c>
      <c r="N10" s="322">
        <v>135</v>
      </c>
      <c r="O10" s="322">
        <v>64</v>
      </c>
    </row>
    <row r="11" spans="1:15" ht="12.75" customHeight="1">
      <c r="A11" s="229">
        <v>2</v>
      </c>
      <c r="B11" s="328" t="s">
        <v>871</v>
      </c>
      <c r="C11" s="335">
        <f>'AT-3'!F10</f>
        <v>1430</v>
      </c>
      <c r="D11" s="322">
        <v>1430</v>
      </c>
      <c r="E11" s="322">
        <v>1430</v>
      </c>
      <c r="F11" s="322">
        <v>0</v>
      </c>
      <c r="G11" s="322">
        <v>0</v>
      </c>
      <c r="H11" s="322">
        <v>0</v>
      </c>
      <c r="I11" s="322">
        <v>0</v>
      </c>
      <c r="J11" s="322">
        <v>0</v>
      </c>
      <c r="K11" s="322">
        <v>0</v>
      </c>
      <c r="L11" s="322">
        <v>0</v>
      </c>
      <c r="M11" s="322">
        <v>0</v>
      </c>
      <c r="N11" s="322">
        <v>0</v>
      </c>
      <c r="O11" s="322">
        <v>0</v>
      </c>
    </row>
    <row r="12" spans="1:15" ht="12.75" customHeight="1">
      <c r="A12" s="229">
        <v>3</v>
      </c>
      <c r="B12" s="328" t="s">
        <v>872</v>
      </c>
      <c r="C12" s="335">
        <f>'AT-3'!F11</f>
        <v>2401</v>
      </c>
      <c r="D12" s="322">
        <v>2401</v>
      </c>
      <c r="E12" s="322">
        <v>2401</v>
      </c>
      <c r="F12" s="322">
        <v>0</v>
      </c>
      <c r="G12" s="322">
        <v>0</v>
      </c>
      <c r="H12" s="322">
        <v>0</v>
      </c>
      <c r="I12" s="322">
        <v>0</v>
      </c>
      <c r="J12" s="322">
        <v>0</v>
      </c>
      <c r="K12" s="322">
        <v>0</v>
      </c>
      <c r="L12" s="322">
        <v>0</v>
      </c>
      <c r="M12" s="322">
        <v>0</v>
      </c>
      <c r="N12" s="322">
        <v>0</v>
      </c>
      <c r="O12" s="322">
        <v>0</v>
      </c>
    </row>
    <row r="13" spans="1:15" ht="12.75" customHeight="1">
      <c r="A13" s="229">
        <v>4</v>
      </c>
      <c r="B13" s="328" t="s">
        <v>873</v>
      </c>
      <c r="C13" s="335">
        <f>'AT-3'!F12</f>
        <v>2981</v>
      </c>
      <c r="D13" s="322">
        <v>2981</v>
      </c>
      <c r="E13" s="322">
        <v>2981</v>
      </c>
      <c r="F13" s="322">
        <v>510</v>
      </c>
      <c r="G13" s="322">
        <v>510</v>
      </c>
      <c r="H13" s="322">
        <v>0</v>
      </c>
      <c r="I13" s="322">
        <v>0</v>
      </c>
      <c r="J13" s="322">
        <v>0</v>
      </c>
      <c r="K13" s="322">
        <v>0</v>
      </c>
      <c r="L13" s="322">
        <v>0</v>
      </c>
      <c r="M13" s="322">
        <v>0</v>
      </c>
      <c r="N13" s="322">
        <v>38</v>
      </c>
      <c r="O13" s="322">
        <v>472</v>
      </c>
    </row>
    <row r="14" spans="1:15" ht="12.75" customHeight="1">
      <c r="A14" s="229">
        <v>5</v>
      </c>
      <c r="B14" s="328" t="s">
        <v>874</v>
      </c>
      <c r="C14" s="335">
        <f>'AT-3'!F13</f>
        <v>3224</v>
      </c>
      <c r="D14" s="322">
        <v>3224</v>
      </c>
      <c r="E14" s="322">
        <v>3224</v>
      </c>
      <c r="F14" s="322">
        <v>0</v>
      </c>
      <c r="G14" s="322">
        <v>0</v>
      </c>
      <c r="H14" s="322">
        <v>0</v>
      </c>
      <c r="I14" s="322">
        <v>0</v>
      </c>
      <c r="J14" s="322">
        <v>0</v>
      </c>
      <c r="K14" s="322">
        <v>0</v>
      </c>
      <c r="L14" s="322">
        <v>0</v>
      </c>
      <c r="M14" s="322">
        <v>0</v>
      </c>
      <c r="N14" s="322">
        <v>0</v>
      </c>
      <c r="O14" s="322">
        <v>0</v>
      </c>
    </row>
    <row r="15" spans="1:15" ht="12.75" customHeight="1">
      <c r="A15" s="229">
        <v>6</v>
      </c>
      <c r="B15" s="328" t="s">
        <v>875</v>
      </c>
      <c r="C15" s="335">
        <f>'AT-3'!F14</f>
        <v>1132</v>
      </c>
      <c r="D15" s="322">
        <v>1132</v>
      </c>
      <c r="E15" s="322">
        <v>1132</v>
      </c>
      <c r="F15" s="322">
        <v>70</v>
      </c>
      <c r="G15" s="322">
        <v>0</v>
      </c>
      <c r="H15" s="322">
        <v>0</v>
      </c>
      <c r="I15" s="322">
        <v>0</v>
      </c>
      <c r="J15" s="322">
        <v>70</v>
      </c>
      <c r="K15" s="322">
        <v>0</v>
      </c>
      <c r="L15" s="322">
        <v>0</v>
      </c>
      <c r="M15" s="322">
        <v>0</v>
      </c>
      <c r="N15" s="322">
        <v>0</v>
      </c>
      <c r="O15" s="322">
        <v>70</v>
      </c>
    </row>
    <row r="16" spans="1:15" ht="12.75" customHeight="1">
      <c r="A16" s="229">
        <v>7</v>
      </c>
      <c r="B16" s="328" t="s">
        <v>876</v>
      </c>
      <c r="C16" s="335">
        <f>'AT-3'!F15</f>
        <v>2013</v>
      </c>
      <c r="D16" s="322">
        <v>2013</v>
      </c>
      <c r="E16" s="322">
        <v>2013</v>
      </c>
      <c r="F16" s="322">
        <v>0</v>
      </c>
      <c r="G16" s="322">
        <v>0</v>
      </c>
      <c r="H16" s="322">
        <v>0</v>
      </c>
      <c r="I16" s="322">
        <v>0</v>
      </c>
      <c r="J16" s="322">
        <v>0</v>
      </c>
      <c r="K16" s="322">
        <v>0</v>
      </c>
      <c r="L16" s="322">
        <v>0</v>
      </c>
      <c r="M16" s="322">
        <v>0</v>
      </c>
      <c r="N16" s="322">
        <v>0</v>
      </c>
      <c r="O16" s="322">
        <v>0</v>
      </c>
    </row>
    <row r="17" spans="1:15" ht="12.75" customHeight="1">
      <c r="A17" s="229">
        <v>8</v>
      </c>
      <c r="B17" s="328" t="s">
        <v>877</v>
      </c>
      <c r="C17" s="335">
        <f>'AT-3'!F16</f>
        <v>2035</v>
      </c>
      <c r="D17" s="322">
        <v>2035</v>
      </c>
      <c r="E17" s="322">
        <v>2035</v>
      </c>
      <c r="F17" s="322">
        <v>935</v>
      </c>
      <c r="G17" s="322">
        <v>604</v>
      </c>
      <c r="H17" s="322">
        <v>0</v>
      </c>
      <c r="I17" s="322">
        <v>1</v>
      </c>
      <c r="J17" s="322">
        <v>329</v>
      </c>
      <c r="K17" s="322">
        <v>1</v>
      </c>
      <c r="L17" s="322">
        <v>0</v>
      </c>
      <c r="M17" s="322">
        <v>921</v>
      </c>
      <c r="N17" s="322">
        <v>11</v>
      </c>
      <c r="O17" s="322">
        <v>3</v>
      </c>
    </row>
    <row r="18" spans="1:15" ht="12.75" customHeight="1">
      <c r="A18" s="229">
        <v>9</v>
      </c>
      <c r="B18" s="328" t="s">
        <v>878</v>
      </c>
      <c r="C18" s="335">
        <f>'AT-3'!F17</f>
        <v>1682</v>
      </c>
      <c r="D18" s="322">
        <v>1682</v>
      </c>
      <c r="E18" s="322">
        <v>1682</v>
      </c>
      <c r="F18" s="322">
        <v>1206</v>
      </c>
      <c r="G18" s="322">
        <v>0</v>
      </c>
      <c r="H18" s="322">
        <v>0</v>
      </c>
      <c r="I18" s="322">
        <v>0</v>
      </c>
      <c r="J18" s="322">
        <v>1206</v>
      </c>
      <c r="K18" s="322">
        <v>0</v>
      </c>
      <c r="L18" s="322">
        <v>0</v>
      </c>
      <c r="M18" s="322">
        <v>1073</v>
      </c>
      <c r="N18" s="322">
        <v>0</v>
      </c>
      <c r="O18" s="322">
        <v>133</v>
      </c>
    </row>
    <row r="19" spans="1:15" ht="12.75" customHeight="1">
      <c r="A19" s="229">
        <v>10</v>
      </c>
      <c r="B19" s="328" t="s">
        <v>879</v>
      </c>
      <c r="C19" s="335">
        <f>'AT-3'!F18</f>
        <v>1799</v>
      </c>
      <c r="D19" s="322">
        <v>1799</v>
      </c>
      <c r="E19" s="322">
        <v>1799</v>
      </c>
      <c r="F19" s="322">
        <v>322</v>
      </c>
      <c r="G19" s="322">
        <v>267</v>
      </c>
      <c r="H19" s="322">
        <v>0</v>
      </c>
      <c r="I19" s="322">
        <v>0</v>
      </c>
      <c r="J19" s="322">
        <v>55</v>
      </c>
      <c r="K19" s="322">
        <v>0</v>
      </c>
      <c r="L19" s="322">
        <v>0</v>
      </c>
      <c r="M19" s="322">
        <v>55</v>
      </c>
      <c r="N19" s="322">
        <v>0</v>
      </c>
      <c r="O19" s="322">
        <v>167</v>
      </c>
    </row>
    <row r="20" spans="1:15" ht="12.75" customHeight="1">
      <c r="A20" s="229">
        <v>11</v>
      </c>
      <c r="B20" s="328" t="s">
        <v>880</v>
      </c>
      <c r="C20" s="335">
        <f>'AT-3'!F19</f>
        <v>1374</v>
      </c>
      <c r="D20" s="322">
        <v>1374</v>
      </c>
      <c r="E20" s="322">
        <v>1374</v>
      </c>
      <c r="F20" s="322">
        <v>25</v>
      </c>
      <c r="G20" s="322">
        <v>4</v>
      </c>
      <c r="H20" s="322">
        <v>0</v>
      </c>
      <c r="I20" s="322">
        <v>0</v>
      </c>
      <c r="J20" s="322">
        <v>21</v>
      </c>
      <c r="K20" s="322">
        <v>0</v>
      </c>
      <c r="L20" s="322">
        <v>0</v>
      </c>
      <c r="M20" s="322">
        <v>0</v>
      </c>
      <c r="N20" s="322">
        <v>0</v>
      </c>
      <c r="O20" s="322">
        <v>25</v>
      </c>
    </row>
    <row r="21" spans="1:15" ht="12.75" customHeight="1">
      <c r="A21" s="229">
        <v>12</v>
      </c>
      <c r="B21" s="328" t="s">
        <v>881</v>
      </c>
      <c r="C21" s="335">
        <f>'AT-3'!F20</f>
        <v>1032</v>
      </c>
      <c r="D21" s="322">
        <v>1032</v>
      </c>
      <c r="E21" s="322">
        <v>1032</v>
      </c>
      <c r="F21" s="322">
        <v>1032</v>
      </c>
      <c r="G21" s="322">
        <v>140</v>
      </c>
      <c r="H21" s="322">
        <v>623</v>
      </c>
      <c r="I21" s="322">
        <v>0</v>
      </c>
      <c r="J21" s="322">
        <v>269</v>
      </c>
      <c r="K21" s="322">
        <v>0</v>
      </c>
      <c r="L21" s="322">
        <v>0</v>
      </c>
      <c r="M21" s="322">
        <v>0</v>
      </c>
      <c r="N21" s="322">
        <v>0</v>
      </c>
      <c r="O21" s="322">
        <v>1032</v>
      </c>
    </row>
    <row r="22" spans="1:15" ht="12.75" customHeight="1">
      <c r="A22" s="229">
        <v>13</v>
      </c>
      <c r="B22" s="328" t="s">
        <v>882</v>
      </c>
      <c r="C22" s="335">
        <f>'AT-3'!F21</f>
        <v>2748</v>
      </c>
      <c r="D22" s="322">
        <v>2748</v>
      </c>
      <c r="E22" s="322">
        <v>2748</v>
      </c>
      <c r="F22" s="322">
        <v>789</v>
      </c>
      <c r="G22" s="322">
        <v>132</v>
      </c>
      <c r="H22" s="322">
        <v>0</v>
      </c>
      <c r="I22" s="322">
        <v>0</v>
      </c>
      <c r="J22" s="322">
        <v>657</v>
      </c>
      <c r="K22" s="322">
        <v>0</v>
      </c>
      <c r="L22" s="322">
        <v>0</v>
      </c>
      <c r="M22" s="322">
        <v>657</v>
      </c>
      <c r="N22" s="322">
        <v>0</v>
      </c>
      <c r="O22" s="322">
        <v>132</v>
      </c>
    </row>
    <row r="23" spans="1:15" ht="12.75" customHeight="1">
      <c r="A23" s="229">
        <v>14</v>
      </c>
      <c r="B23" s="328" t="s">
        <v>883</v>
      </c>
      <c r="C23" s="335">
        <f>'AT-3'!F22</f>
        <v>1923</v>
      </c>
      <c r="D23" s="322">
        <v>1923</v>
      </c>
      <c r="E23" s="322">
        <v>1923</v>
      </c>
      <c r="F23" s="322">
        <v>299</v>
      </c>
      <c r="G23" s="322">
        <v>114</v>
      </c>
      <c r="H23" s="322">
        <v>2</v>
      </c>
      <c r="I23" s="322">
        <v>0</v>
      </c>
      <c r="J23" s="322">
        <v>183</v>
      </c>
      <c r="K23" s="322">
        <v>0</v>
      </c>
      <c r="L23" s="322">
        <v>0</v>
      </c>
      <c r="M23" s="322">
        <v>216</v>
      </c>
      <c r="N23" s="322">
        <v>47</v>
      </c>
      <c r="O23" s="322">
        <v>36</v>
      </c>
    </row>
    <row r="24" spans="1:15" ht="12.75" customHeight="1">
      <c r="A24" s="229">
        <v>15</v>
      </c>
      <c r="B24" s="328" t="s">
        <v>884</v>
      </c>
      <c r="C24" s="335">
        <f>'AT-3'!F23</f>
        <v>3061</v>
      </c>
      <c r="D24" s="322">
        <v>3061</v>
      </c>
      <c r="E24" s="322">
        <v>3061</v>
      </c>
      <c r="F24" s="322">
        <v>0</v>
      </c>
      <c r="G24" s="322">
        <v>0</v>
      </c>
      <c r="H24" s="322">
        <v>0</v>
      </c>
      <c r="I24" s="322">
        <v>0</v>
      </c>
      <c r="J24" s="322"/>
      <c r="K24" s="322">
        <v>0</v>
      </c>
      <c r="L24" s="322">
        <v>0</v>
      </c>
      <c r="M24" s="322">
        <v>0</v>
      </c>
      <c r="N24" s="322">
        <v>0</v>
      </c>
      <c r="O24" s="322">
        <v>0</v>
      </c>
    </row>
    <row r="25" spans="1:15" ht="12.75" customHeight="1">
      <c r="A25" s="229">
        <v>16</v>
      </c>
      <c r="B25" s="328" t="s">
        <v>885</v>
      </c>
      <c r="C25" s="335">
        <f>'AT-3'!F24</f>
        <v>2137</v>
      </c>
      <c r="D25" s="322">
        <v>2137</v>
      </c>
      <c r="E25" s="322">
        <v>2137</v>
      </c>
      <c r="F25" s="322">
        <v>0</v>
      </c>
      <c r="G25" s="322">
        <v>0</v>
      </c>
      <c r="H25" s="322">
        <v>0</v>
      </c>
      <c r="I25" s="322">
        <v>0</v>
      </c>
      <c r="J25" s="322">
        <v>0</v>
      </c>
      <c r="K25" s="322">
        <v>0</v>
      </c>
      <c r="L25" s="322">
        <v>0</v>
      </c>
      <c r="M25" s="322">
        <v>0</v>
      </c>
      <c r="N25" s="322">
        <v>0</v>
      </c>
      <c r="O25" s="322">
        <v>0</v>
      </c>
    </row>
    <row r="26" spans="1:16" ht="12.75" customHeight="1">
      <c r="A26" s="229">
        <v>17</v>
      </c>
      <c r="B26" s="328" t="s">
        <v>886</v>
      </c>
      <c r="C26" s="335">
        <f>'AT-3'!F25</f>
        <v>2389</v>
      </c>
      <c r="D26" s="322">
        <v>2389</v>
      </c>
      <c r="E26" s="322">
        <v>2389</v>
      </c>
      <c r="F26" s="322">
        <v>2192</v>
      </c>
      <c r="G26" s="322">
        <v>0</v>
      </c>
      <c r="H26" s="322">
        <v>2192</v>
      </c>
      <c r="I26" s="322">
        <v>0</v>
      </c>
      <c r="J26" s="322">
        <v>0</v>
      </c>
      <c r="K26" s="322">
        <v>0</v>
      </c>
      <c r="L26" s="322">
        <v>0</v>
      </c>
      <c r="M26" s="322">
        <v>2192</v>
      </c>
      <c r="N26" s="322">
        <v>0</v>
      </c>
      <c r="O26" s="322"/>
      <c r="P26" t="s">
        <v>984</v>
      </c>
    </row>
    <row r="27" spans="1:15" ht="12.75" customHeight="1">
      <c r="A27" s="229">
        <v>18</v>
      </c>
      <c r="B27" s="328" t="s">
        <v>887</v>
      </c>
      <c r="C27" s="335">
        <f>'AT-3'!F26</f>
        <v>2849</v>
      </c>
      <c r="D27" s="322">
        <v>2849</v>
      </c>
      <c r="E27" s="322">
        <v>2849</v>
      </c>
      <c r="F27" s="322">
        <v>2795</v>
      </c>
      <c r="G27" s="322">
        <v>93</v>
      </c>
      <c r="H27" s="322">
        <v>32</v>
      </c>
      <c r="I27" s="322">
        <v>2</v>
      </c>
      <c r="J27" s="322">
        <v>2645</v>
      </c>
      <c r="K27" s="322">
        <v>23</v>
      </c>
      <c r="L27" s="322">
        <v>0</v>
      </c>
      <c r="M27" s="322">
        <v>2645</v>
      </c>
      <c r="N27" s="322">
        <v>0</v>
      </c>
      <c r="O27" s="322">
        <v>150</v>
      </c>
    </row>
    <row r="28" spans="1:15" ht="12.75" customHeight="1">
      <c r="A28" s="229">
        <v>19</v>
      </c>
      <c r="B28" s="328" t="s">
        <v>888</v>
      </c>
      <c r="C28" s="335">
        <f>'AT-3'!F27</f>
        <v>3021</v>
      </c>
      <c r="D28" s="322">
        <v>3021</v>
      </c>
      <c r="E28" s="322">
        <v>3021</v>
      </c>
      <c r="F28" s="322">
        <v>0</v>
      </c>
      <c r="G28" s="322">
        <v>0</v>
      </c>
      <c r="H28" s="322">
        <v>0</v>
      </c>
      <c r="I28" s="322">
        <v>0</v>
      </c>
      <c r="J28" s="322">
        <v>0</v>
      </c>
      <c r="K28" s="322">
        <v>0</v>
      </c>
      <c r="L28" s="322">
        <v>0</v>
      </c>
      <c r="M28" s="322">
        <v>0</v>
      </c>
      <c r="N28" s="322">
        <v>0</v>
      </c>
      <c r="O28" s="322">
        <v>0</v>
      </c>
    </row>
    <row r="29" spans="1:15" ht="12.75" customHeight="1">
      <c r="A29" s="229">
        <v>20</v>
      </c>
      <c r="B29" s="328" t="s">
        <v>889</v>
      </c>
      <c r="C29" s="335">
        <f>'AT-3'!F28</f>
        <v>1705</v>
      </c>
      <c r="D29" s="322">
        <v>1705</v>
      </c>
      <c r="E29" s="322">
        <v>1705</v>
      </c>
      <c r="F29" s="322">
        <v>0</v>
      </c>
      <c r="G29" s="322">
        <v>0</v>
      </c>
      <c r="H29" s="322">
        <v>0</v>
      </c>
      <c r="I29" s="322">
        <v>0</v>
      </c>
      <c r="J29" s="322">
        <v>0</v>
      </c>
      <c r="K29" s="322">
        <v>0</v>
      </c>
      <c r="L29" s="322">
        <v>0</v>
      </c>
      <c r="M29" s="322">
        <v>0</v>
      </c>
      <c r="N29" s="322">
        <v>0</v>
      </c>
      <c r="O29" s="322">
        <v>0</v>
      </c>
    </row>
    <row r="30" spans="1:15" ht="12.75" customHeight="1">
      <c r="A30" s="229">
        <v>21</v>
      </c>
      <c r="B30" s="328" t="s">
        <v>890</v>
      </c>
      <c r="C30" s="335">
        <f>'AT-3'!F29</f>
        <v>4449</v>
      </c>
      <c r="D30" s="322">
        <v>4449</v>
      </c>
      <c r="E30" s="322">
        <v>4449</v>
      </c>
      <c r="F30" s="322">
        <v>0</v>
      </c>
      <c r="G30" s="322">
        <v>0</v>
      </c>
      <c r="H30" s="322">
        <v>0</v>
      </c>
      <c r="I30" s="322">
        <v>0</v>
      </c>
      <c r="J30" s="322">
        <v>0</v>
      </c>
      <c r="K30" s="322">
        <v>0</v>
      </c>
      <c r="L30" s="322">
        <v>0</v>
      </c>
      <c r="M30" s="322">
        <v>0</v>
      </c>
      <c r="N30" s="322">
        <v>0</v>
      </c>
      <c r="O30" s="322">
        <v>0</v>
      </c>
    </row>
    <row r="31" spans="1:15" ht="12.75" customHeight="1">
      <c r="A31" s="229">
        <v>22</v>
      </c>
      <c r="B31" s="328" t="s">
        <v>891</v>
      </c>
      <c r="C31" s="335">
        <f>'AT-3'!F30</f>
        <v>1548</v>
      </c>
      <c r="D31" s="322">
        <v>1548</v>
      </c>
      <c r="E31" s="322">
        <v>1548</v>
      </c>
      <c r="F31" s="322">
        <v>254</v>
      </c>
      <c r="G31" s="322">
        <v>0</v>
      </c>
      <c r="H31" s="322">
        <v>0</v>
      </c>
      <c r="I31" s="322">
        <v>0</v>
      </c>
      <c r="J31" s="322">
        <v>254</v>
      </c>
      <c r="K31" s="322">
        <v>0</v>
      </c>
      <c r="L31" s="322">
        <v>0</v>
      </c>
      <c r="M31" s="322">
        <v>0</v>
      </c>
      <c r="N31" s="322">
        <v>0</v>
      </c>
      <c r="O31" s="322">
        <v>254</v>
      </c>
    </row>
    <row r="32" spans="1:15" ht="12.75" customHeight="1">
      <c r="A32" s="229">
        <v>23</v>
      </c>
      <c r="B32" s="328" t="s">
        <v>892</v>
      </c>
      <c r="C32" s="335">
        <f>'AT-3'!F31</f>
        <v>1583</v>
      </c>
      <c r="D32" s="322">
        <v>1583</v>
      </c>
      <c r="E32" s="322">
        <v>1583</v>
      </c>
      <c r="F32" s="322">
        <v>0</v>
      </c>
      <c r="G32" s="322">
        <v>0</v>
      </c>
      <c r="H32" s="322">
        <v>0</v>
      </c>
      <c r="I32" s="322">
        <v>0</v>
      </c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</row>
    <row r="33" spans="1:15" ht="12.75" customHeight="1">
      <c r="A33" s="229">
        <v>24</v>
      </c>
      <c r="B33" s="328" t="s">
        <v>893</v>
      </c>
      <c r="C33" s="335">
        <f>'AT-3'!F32</f>
        <v>5432</v>
      </c>
      <c r="D33" s="322">
        <v>5432</v>
      </c>
      <c r="E33" s="322">
        <v>5432</v>
      </c>
      <c r="F33" s="322">
        <v>3892</v>
      </c>
      <c r="G33" s="322">
        <v>1629</v>
      </c>
      <c r="H33" s="322">
        <v>18</v>
      </c>
      <c r="I33" s="322">
        <v>378</v>
      </c>
      <c r="J33" s="322">
        <v>1867</v>
      </c>
      <c r="K33" s="322">
        <v>0</v>
      </c>
      <c r="L33" s="322">
        <v>0</v>
      </c>
      <c r="M33" s="322">
        <v>0</v>
      </c>
      <c r="N33" s="322">
        <v>3576</v>
      </c>
      <c r="O33" s="322">
        <v>316</v>
      </c>
    </row>
    <row r="34" spans="1:15" ht="12.75" customHeight="1">
      <c r="A34" s="229">
        <v>25</v>
      </c>
      <c r="B34" s="328" t="s">
        <v>894</v>
      </c>
      <c r="C34" s="335">
        <f>'AT-3'!F33</f>
        <v>3208</v>
      </c>
      <c r="D34" s="322">
        <v>3208</v>
      </c>
      <c r="E34" s="322">
        <v>3208</v>
      </c>
      <c r="F34" s="322">
        <v>0</v>
      </c>
      <c r="G34" s="322">
        <v>0</v>
      </c>
      <c r="H34" s="322">
        <v>0</v>
      </c>
      <c r="I34" s="322">
        <v>0</v>
      </c>
      <c r="J34" s="322">
        <v>0</v>
      </c>
      <c r="K34" s="322">
        <v>0</v>
      </c>
      <c r="L34" s="322">
        <v>0</v>
      </c>
      <c r="M34" s="322">
        <v>0</v>
      </c>
      <c r="N34" s="322">
        <v>0</v>
      </c>
      <c r="O34" s="322">
        <v>0</v>
      </c>
    </row>
    <row r="35" spans="1:15" ht="12.75" customHeight="1">
      <c r="A35" s="229">
        <v>26</v>
      </c>
      <c r="B35" s="328" t="s">
        <v>895</v>
      </c>
      <c r="C35" s="335">
        <f>'AT-3'!F34</f>
        <v>3076</v>
      </c>
      <c r="D35" s="322">
        <v>3076</v>
      </c>
      <c r="E35" s="322">
        <v>3076</v>
      </c>
      <c r="F35" s="322">
        <v>0</v>
      </c>
      <c r="G35" s="322">
        <v>0</v>
      </c>
      <c r="H35" s="322">
        <v>0</v>
      </c>
      <c r="I35" s="322">
        <v>0</v>
      </c>
      <c r="J35" s="322">
        <v>0</v>
      </c>
      <c r="K35" s="322">
        <v>0</v>
      </c>
      <c r="L35" s="322">
        <v>0</v>
      </c>
      <c r="M35" s="322">
        <v>0</v>
      </c>
      <c r="N35" s="322">
        <v>0</v>
      </c>
      <c r="O35" s="322">
        <v>0</v>
      </c>
    </row>
    <row r="36" spans="1:15" ht="12.75" customHeight="1">
      <c r="A36" s="229">
        <v>27</v>
      </c>
      <c r="B36" s="328" t="s">
        <v>896</v>
      </c>
      <c r="C36" s="335">
        <f>'AT-3'!F35</f>
        <v>2515</v>
      </c>
      <c r="D36" s="322">
        <v>2515</v>
      </c>
      <c r="E36" s="322">
        <v>2515</v>
      </c>
      <c r="F36" s="322">
        <v>50</v>
      </c>
      <c r="G36" s="322">
        <v>0</v>
      </c>
      <c r="H36" s="322">
        <v>0</v>
      </c>
      <c r="I36" s="322">
        <v>0</v>
      </c>
      <c r="J36" s="322">
        <v>50</v>
      </c>
      <c r="K36" s="322">
        <v>0</v>
      </c>
      <c r="L36" s="322">
        <v>0</v>
      </c>
      <c r="M36" s="322">
        <v>0</v>
      </c>
      <c r="N36" s="322">
        <v>0</v>
      </c>
      <c r="O36" s="322">
        <v>50</v>
      </c>
    </row>
    <row r="37" spans="1:15" ht="12.75" customHeight="1">
      <c r="A37" s="229">
        <v>28</v>
      </c>
      <c r="B37" s="328" t="s">
        <v>897</v>
      </c>
      <c r="C37" s="335">
        <f>'AT-3'!F36</f>
        <v>3436</v>
      </c>
      <c r="D37" s="322">
        <v>3436</v>
      </c>
      <c r="E37" s="322">
        <v>3436</v>
      </c>
      <c r="F37" s="322">
        <v>671</v>
      </c>
      <c r="G37" s="322">
        <v>277</v>
      </c>
      <c r="H37" s="322">
        <v>47</v>
      </c>
      <c r="I37" s="322">
        <v>36</v>
      </c>
      <c r="J37" s="322">
        <v>190</v>
      </c>
      <c r="K37" s="322">
        <v>121</v>
      </c>
      <c r="L37" s="322">
        <v>0</v>
      </c>
      <c r="M37" s="322">
        <v>311</v>
      </c>
      <c r="N37" s="322">
        <v>83</v>
      </c>
      <c r="O37" s="322">
        <v>277</v>
      </c>
    </row>
    <row r="38" spans="1:15" ht="12.75" customHeight="1">
      <c r="A38" s="229">
        <v>29</v>
      </c>
      <c r="B38" s="328" t="s">
        <v>898</v>
      </c>
      <c r="C38" s="335">
        <f>'AT-3'!F37</f>
        <v>1670</v>
      </c>
      <c r="D38" s="322">
        <v>1670</v>
      </c>
      <c r="E38" s="322">
        <v>1670</v>
      </c>
      <c r="F38" s="322">
        <v>380</v>
      </c>
      <c r="G38" s="322">
        <v>530</v>
      </c>
      <c r="H38" s="322">
        <v>0</v>
      </c>
      <c r="I38" s="322">
        <v>25</v>
      </c>
      <c r="J38" s="322">
        <v>22</v>
      </c>
      <c r="K38" s="322">
        <v>0</v>
      </c>
      <c r="L38" s="322">
        <v>0</v>
      </c>
      <c r="M38" s="322">
        <v>15</v>
      </c>
      <c r="N38" s="322">
        <v>1</v>
      </c>
      <c r="O38" s="322">
        <v>4</v>
      </c>
    </row>
    <row r="39" spans="1:15" ht="12.75" customHeight="1">
      <c r="A39" s="229">
        <v>30</v>
      </c>
      <c r="B39" s="328" t="s">
        <v>899</v>
      </c>
      <c r="C39" s="335">
        <f>'AT-3'!F38</f>
        <v>4073</v>
      </c>
      <c r="D39" s="322">
        <v>4073</v>
      </c>
      <c r="E39" s="322">
        <v>4073</v>
      </c>
      <c r="F39" s="322">
        <v>2310</v>
      </c>
      <c r="G39" s="322">
        <v>2120</v>
      </c>
      <c r="H39" s="322">
        <v>4</v>
      </c>
      <c r="I39" s="322">
        <v>0</v>
      </c>
      <c r="J39" s="322">
        <v>185</v>
      </c>
      <c r="K39" s="322">
        <v>1</v>
      </c>
      <c r="L39" s="322">
        <v>0</v>
      </c>
      <c r="M39" s="322">
        <v>185</v>
      </c>
      <c r="N39" s="322">
        <v>800</v>
      </c>
      <c r="O39" s="322">
        <v>1325</v>
      </c>
    </row>
    <row r="40" spans="1:15" ht="12.75" customHeight="1">
      <c r="A40" s="229">
        <v>31</v>
      </c>
      <c r="B40" s="328" t="s">
        <v>900</v>
      </c>
      <c r="C40" s="335">
        <f>'AT-3'!F39</f>
        <v>2785</v>
      </c>
      <c r="D40" s="322">
        <v>2785</v>
      </c>
      <c r="E40" s="322">
        <v>2785</v>
      </c>
      <c r="F40" s="322">
        <v>2785</v>
      </c>
      <c r="G40" s="322">
        <v>2785</v>
      </c>
      <c r="H40" s="322">
        <v>0</v>
      </c>
      <c r="I40" s="322">
        <v>0</v>
      </c>
      <c r="J40" s="322">
        <v>0</v>
      </c>
      <c r="K40" s="322">
        <v>0</v>
      </c>
      <c r="L40" s="322">
        <v>0</v>
      </c>
      <c r="M40" s="322">
        <v>1045</v>
      </c>
      <c r="N40" s="322">
        <v>1740</v>
      </c>
      <c r="O40" s="322">
        <v>0</v>
      </c>
    </row>
    <row r="41" spans="1:15" ht="12.75" customHeight="1">
      <c r="A41" s="229">
        <v>32</v>
      </c>
      <c r="B41" s="328" t="s">
        <v>901</v>
      </c>
      <c r="C41" s="335">
        <f>'AT-3'!F40</f>
        <v>2393</v>
      </c>
      <c r="D41" s="322">
        <v>2393</v>
      </c>
      <c r="E41" s="322">
        <v>2393</v>
      </c>
      <c r="F41" s="322">
        <v>253</v>
      </c>
      <c r="G41" s="322">
        <v>253</v>
      </c>
      <c r="H41" s="322">
        <v>0</v>
      </c>
      <c r="I41" s="322">
        <v>0</v>
      </c>
      <c r="J41" s="322">
        <v>0</v>
      </c>
      <c r="K41" s="322">
        <v>0</v>
      </c>
      <c r="L41" s="322">
        <v>0</v>
      </c>
      <c r="M41" s="322">
        <v>0</v>
      </c>
      <c r="N41" s="322">
        <v>0</v>
      </c>
      <c r="O41" s="322">
        <v>253</v>
      </c>
    </row>
    <row r="42" spans="1:15" ht="12.75" customHeight="1">
      <c r="A42" s="229">
        <v>33</v>
      </c>
      <c r="B42" s="328" t="s">
        <v>902</v>
      </c>
      <c r="C42" s="335">
        <f>'AT-3'!F41</f>
        <v>1246</v>
      </c>
      <c r="D42" s="322">
        <v>1246</v>
      </c>
      <c r="E42" s="322">
        <v>1246</v>
      </c>
      <c r="F42" s="322">
        <v>0</v>
      </c>
      <c r="G42" s="322">
        <v>0</v>
      </c>
      <c r="H42" s="322">
        <v>0</v>
      </c>
      <c r="I42" s="322">
        <v>0</v>
      </c>
      <c r="J42" s="322">
        <v>0</v>
      </c>
      <c r="K42" s="322">
        <v>0</v>
      </c>
      <c r="L42" s="322">
        <v>0</v>
      </c>
      <c r="M42" s="322">
        <v>0</v>
      </c>
      <c r="N42" s="322">
        <v>0</v>
      </c>
      <c r="O42" s="322">
        <v>0</v>
      </c>
    </row>
    <row r="43" spans="1:16" ht="12.75" customHeight="1">
      <c r="A43" s="229">
        <v>34</v>
      </c>
      <c r="B43" s="328" t="s">
        <v>903</v>
      </c>
      <c r="C43" s="335">
        <f>'AT-3'!F42</f>
        <v>1110</v>
      </c>
      <c r="D43" s="322">
        <v>1110</v>
      </c>
      <c r="E43" s="322">
        <v>1110</v>
      </c>
      <c r="F43" s="322">
        <v>111</v>
      </c>
      <c r="G43" s="322">
        <v>0</v>
      </c>
      <c r="H43" s="322">
        <v>0</v>
      </c>
      <c r="I43" s="322">
        <v>0</v>
      </c>
      <c r="J43" s="322">
        <v>111</v>
      </c>
      <c r="K43" s="322">
        <v>0</v>
      </c>
      <c r="L43" s="322">
        <v>0</v>
      </c>
      <c r="M43" s="322">
        <v>111</v>
      </c>
      <c r="N43" s="322">
        <v>0</v>
      </c>
      <c r="O43" s="322">
        <v>0</v>
      </c>
      <c r="P43" t="s">
        <v>989</v>
      </c>
    </row>
    <row r="44" spans="1:15" ht="12.75" customHeight="1">
      <c r="A44" s="229">
        <v>35</v>
      </c>
      <c r="B44" s="328" t="s">
        <v>904</v>
      </c>
      <c r="C44" s="335">
        <f>'AT-3'!F43</f>
        <v>2782</v>
      </c>
      <c r="D44" s="322">
        <v>2782</v>
      </c>
      <c r="E44" s="322">
        <v>2782</v>
      </c>
      <c r="F44" s="322">
        <v>278</v>
      </c>
      <c r="G44" s="322">
        <v>278</v>
      </c>
      <c r="H44" s="322">
        <v>0</v>
      </c>
      <c r="I44" s="322">
        <v>0</v>
      </c>
      <c r="J44" s="322">
        <v>0</v>
      </c>
      <c r="K44" s="322">
        <v>0</v>
      </c>
      <c r="L44" s="322">
        <v>0</v>
      </c>
      <c r="M44" s="322">
        <v>278</v>
      </c>
      <c r="N44" s="322">
        <v>0</v>
      </c>
      <c r="O44" s="322">
        <v>0</v>
      </c>
    </row>
    <row r="45" spans="1:15" s="15" customFormat="1" ht="12.75" customHeight="1">
      <c r="A45" s="229"/>
      <c r="B45" s="229" t="s">
        <v>19</v>
      </c>
      <c r="C45" s="667">
        <f>SUM(C10:C44)</f>
        <v>86780</v>
      </c>
      <c r="D45" s="667">
        <f aca="true" t="shared" si="0" ref="D45:O45">SUM(D10:D44)</f>
        <v>86780</v>
      </c>
      <c r="E45" s="667">
        <f t="shared" si="0"/>
        <v>86780</v>
      </c>
      <c r="F45" s="667">
        <f t="shared" si="0"/>
        <v>22067</v>
      </c>
      <c r="G45" s="667">
        <f t="shared" si="0"/>
        <v>10633</v>
      </c>
      <c r="H45" s="667">
        <f t="shared" si="0"/>
        <v>2929</v>
      </c>
      <c r="I45" s="667">
        <f t="shared" si="0"/>
        <v>442</v>
      </c>
      <c r="J45" s="667">
        <f t="shared" si="0"/>
        <v>8114</v>
      </c>
      <c r="K45" s="667">
        <f t="shared" si="0"/>
        <v>146</v>
      </c>
      <c r="L45" s="667">
        <f t="shared" si="0"/>
        <v>0</v>
      </c>
      <c r="M45" s="667">
        <f t="shared" si="0"/>
        <v>10413</v>
      </c>
      <c r="N45" s="667">
        <f t="shared" si="0"/>
        <v>6431</v>
      </c>
      <c r="O45" s="667">
        <f t="shared" si="0"/>
        <v>4763</v>
      </c>
    </row>
    <row r="46" spans="1:15" ht="12.75">
      <c r="A46" s="9"/>
      <c r="B46" s="9"/>
      <c r="C46" s="201"/>
      <c r="D46" s="201"/>
      <c r="E46" s="201"/>
      <c r="F46" s="9"/>
      <c r="G46" s="9"/>
      <c r="H46" s="9"/>
      <c r="I46" s="9"/>
      <c r="J46" s="9"/>
      <c r="K46" s="9"/>
      <c r="L46" s="9"/>
      <c r="M46" s="9"/>
      <c r="N46" s="9"/>
      <c r="O46" s="9"/>
    </row>
    <row r="48" ht="12.75">
      <c r="A48" s="202"/>
    </row>
    <row r="49" spans="5:15" ht="12.75" customHeight="1">
      <c r="E49" s="748" t="s">
        <v>1021</v>
      </c>
      <c r="F49" s="748"/>
      <c r="G49" s="748"/>
      <c r="H49" s="748"/>
      <c r="L49" s="748" t="s">
        <v>1024</v>
      </c>
      <c r="M49" s="748"/>
      <c r="N49" s="748"/>
      <c r="O49" s="748"/>
    </row>
    <row r="50" spans="5:15" ht="12.75" customHeight="1">
      <c r="E50" s="748" t="s">
        <v>1022</v>
      </c>
      <c r="F50" s="748"/>
      <c r="G50" s="748"/>
      <c r="H50" s="748"/>
      <c r="L50" s="748" t="s">
        <v>1025</v>
      </c>
      <c r="M50" s="748"/>
      <c r="N50" s="748"/>
      <c r="O50" s="748"/>
    </row>
    <row r="51" spans="1:15" ht="15" customHeight="1">
      <c r="A51" s="303"/>
      <c r="B51" s="303"/>
      <c r="C51" s="303"/>
      <c r="D51" s="303"/>
      <c r="E51" s="735" t="s">
        <v>1023</v>
      </c>
      <c r="F51" s="735"/>
      <c r="G51" s="735"/>
      <c r="H51" s="735"/>
      <c r="L51" s="735" t="s">
        <v>1023</v>
      </c>
      <c r="M51" s="735"/>
      <c r="N51" s="735"/>
      <c r="O51" s="735"/>
    </row>
    <row r="52" spans="1:15" ht="15" customHeight="1">
      <c r="A52" s="303"/>
      <c r="B52" s="303"/>
      <c r="C52" s="303"/>
      <c r="D52" s="303"/>
      <c r="G52" s="304"/>
      <c r="H52" s="304"/>
      <c r="L52" s="320"/>
      <c r="M52" s="320"/>
      <c r="N52" s="320"/>
      <c r="O52" s="320"/>
    </row>
    <row r="53" spans="1:15" ht="15" customHeight="1">
      <c r="A53" s="303"/>
      <c r="B53" s="303"/>
      <c r="C53" s="303"/>
      <c r="D53" s="303"/>
      <c r="G53" s="304"/>
      <c r="H53" s="304"/>
      <c r="L53" s="217"/>
      <c r="M53" s="217"/>
      <c r="N53" s="217"/>
      <c r="O53" s="217"/>
    </row>
    <row r="54" spans="1:15" ht="12.75">
      <c r="A54" s="303" t="s">
        <v>12</v>
      </c>
      <c r="C54" s="303"/>
      <c r="D54" s="303"/>
      <c r="G54" s="303"/>
      <c r="H54" s="303"/>
      <c r="L54" s="933"/>
      <c r="M54" s="933"/>
      <c r="N54" s="320"/>
      <c r="O54" s="320"/>
    </row>
    <row r="55" spans="1:12" ht="12.75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</row>
  </sheetData>
  <sheetProtection/>
  <mergeCells count="28">
    <mergeCell ref="N1:O1"/>
    <mergeCell ref="A1:M1"/>
    <mergeCell ref="A2:N2"/>
    <mergeCell ref="A4:N4"/>
    <mergeCell ref="G7:K7"/>
    <mergeCell ref="N8:N9"/>
    <mergeCell ref="C7:C9"/>
    <mergeCell ref="G8:H8"/>
    <mergeCell ref="A7:A9"/>
    <mergeCell ref="B7:B9"/>
    <mergeCell ref="L54:M54"/>
    <mergeCell ref="E7:E9"/>
    <mergeCell ref="F7:F9"/>
    <mergeCell ref="M7:O7"/>
    <mergeCell ref="M6:O6"/>
    <mergeCell ref="O8:O9"/>
    <mergeCell ref="K8:K9"/>
    <mergeCell ref="M8:M9"/>
    <mergeCell ref="I8:I9"/>
    <mergeCell ref="D7:D9"/>
    <mergeCell ref="L7:L9"/>
    <mergeCell ref="J8:J9"/>
    <mergeCell ref="L49:O49"/>
    <mergeCell ref="L50:O50"/>
    <mergeCell ref="L51:O51"/>
    <mergeCell ref="E49:H49"/>
    <mergeCell ref="E50:H50"/>
    <mergeCell ref="E51:H51"/>
  </mergeCells>
  <printOptions horizontalCentered="1"/>
  <pageMargins left="0.7086614173228347" right="0.7086614173228347" top="0.2362204724409449" bottom="0" header="0.23" footer="0.23"/>
  <pageSetup fitToHeight="1" fitToWidth="1" horizontalDpi="600" verticalDpi="600" orientation="landscape" paperSize="9" scale="7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view="pageBreakPreview" zoomScale="90" zoomScaleSheetLayoutView="90" zoomScalePageLayoutView="0" workbookViewId="0" topLeftCell="A13">
      <selection activeCell="D30" sqref="D30:F30"/>
    </sheetView>
  </sheetViews>
  <sheetFormatPr defaultColWidth="9.140625" defaultRowHeight="12.75"/>
  <cols>
    <col min="1" max="1" width="10.28125" style="0" customWidth="1"/>
    <col min="2" max="2" width="12.0039062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  <col min="12" max="13" width="10.8515625" style="0" hidden="1" customWidth="1"/>
    <col min="14" max="15" width="0" style="0" hidden="1" customWidth="1"/>
  </cols>
  <sheetData>
    <row r="1" spans="4:10" ht="15">
      <c r="D1" s="735"/>
      <c r="E1" s="735"/>
      <c r="H1" s="43"/>
      <c r="I1" s="810" t="s">
        <v>68</v>
      </c>
      <c r="J1" s="810"/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</row>
    <row r="4" ht="10.5" customHeight="1"/>
    <row r="5" spans="1:11" s="16" customFormat="1" ht="24.75" customHeight="1">
      <c r="A5" s="940" t="s">
        <v>451</v>
      </c>
      <c r="B5" s="940"/>
      <c r="C5" s="940"/>
      <c r="D5" s="940"/>
      <c r="E5" s="940"/>
      <c r="F5" s="940"/>
      <c r="G5" s="940"/>
      <c r="H5" s="940"/>
      <c r="I5" s="940"/>
      <c r="J5" s="940"/>
      <c r="K5" s="940"/>
    </row>
    <row r="6" spans="1:10" s="16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6" customFormat="1" ht="12.75">
      <c r="A7" s="208" t="s">
        <v>1020</v>
      </c>
      <c r="B7" s="208"/>
      <c r="C7" s="209"/>
      <c r="E7" s="898"/>
      <c r="F7" s="898"/>
      <c r="G7" s="898"/>
      <c r="H7" s="898"/>
      <c r="I7" s="898" t="s">
        <v>823</v>
      </c>
      <c r="J7" s="898"/>
      <c r="K7" s="898"/>
    </row>
    <row r="8" spans="3:10" s="14" customFormat="1" ht="15.75" hidden="1">
      <c r="C8" s="811" t="s">
        <v>16</v>
      </c>
      <c r="D8" s="811"/>
      <c r="E8" s="811"/>
      <c r="F8" s="811"/>
      <c r="G8" s="811"/>
      <c r="H8" s="811"/>
      <c r="I8" s="811"/>
      <c r="J8" s="811"/>
    </row>
    <row r="9" spans="1:19" ht="44.25" customHeight="1">
      <c r="A9" s="808" t="s">
        <v>24</v>
      </c>
      <c r="B9" s="808" t="s">
        <v>58</v>
      </c>
      <c r="C9" s="696" t="s">
        <v>478</v>
      </c>
      <c r="D9" s="698"/>
      <c r="E9" s="696" t="s">
        <v>38</v>
      </c>
      <c r="F9" s="698"/>
      <c r="G9" s="696" t="s">
        <v>39</v>
      </c>
      <c r="H9" s="698"/>
      <c r="I9" s="709" t="s">
        <v>105</v>
      </c>
      <c r="J9" s="709"/>
      <c r="K9" s="808" t="s">
        <v>530</v>
      </c>
      <c r="R9" s="9"/>
      <c r="S9" s="13"/>
    </row>
    <row r="10" spans="1:13" s="15" customFormat="1" ht="42" customHeight="1">
      <c r="A10" s="809"/>
      <c r="B10" s="809"/>
      <c r="C10" s="5" t="s">
        <v>40</v>
      </c>
      <c r="D10" s="5" t="s">
        <v>104</v>
      </c>
      <c r="E10" s="5" t="s">
        <v>40</v>
      </c>
      <c r="F10" s="5" t="s">
        <v>104</v>
      </c>
      <c r="G10" s="5" t="s">
        <v>40</v>
      </c>
      <c r="H10" s="5" t="s">
        <v>104</v>
      </c>
      <c r="I10" s="5" t="s">
        <v>137</v>
      </c>
      <c r="J10" s="5" t="s">
        <v>138</v>
      </c>
      <c r="K10" s="809"/>
      <c r="L10" s="387" t="s">
        <v>987</v>
      </c>
      <c r="M10" s="387" t="s">
        <v>988</v>
      </c>
    </row>
    <row r="11" spans="1:11" ht="12.75">
      <c r="A11" s="148">
        <v>1</v>
      </c>
      <c r="B11" s="148">
        <v>2</v>
      </c>
      <c r="C11" s="148">
        <v>3</v>
      </c>
      <c r="D11" s="148">
        <v>4</v>
      </c>
      <c r="E11" s="148">
        <v>5</v>
      </c>
      <c r="F11" s="148">
        <v>6</v>
      </c>
      <c r="G11" s="148">
        <v>7</v>
      </c>
      <c r="H11" s="148">
        <v>8</v>
      </c>
      <c r="I11" s="148">
        <v>9</v>
      </c>
      <c r="J11" s="148">
        <v>10</v>
      </c>
      <c r="K11" s="3">
        <v>11</v>
      </c>
    </row>
    <row r="12" spans="1:13" ht="17.25" customHeight="1">
      <c r="A12" s="8">
        <v>1</v>
      </c>
      <c r="B12" s="19" t="s">
        <v>386</v>
      </c>
      <c r="C12" s="9">
        <v>18417</v>
      </c>
      <c r="D12" s="9">
        <v>11050.2</v>
      </c>
      <c r="E12" s="9">
        <v>17825</v>
      </c>
      <c r="F12" s="9">
        <v>10613.88</v>
      </c>
      <c r="G12" s="9">
        <v>0</v>
      </c>
      <c r="H12" s="9">
        <v>0</v>
      </c>
      <c r="I12" s="201">
        <v>592</v>
      </c>
      <c r="J12" s="201">
        <v>208.89</v>
      </c>
      <c r="K12" s="9"/>
      <c r="L12" s="388">
        <v>425</v>
      </c>
      <c r="M12" s="388">
        <v>250.75</v>
      </c>
    </row>
    <row r="13" spans="1:13" ht="17.25" customHeight="1">
      <c r="A13" s="8">
        <v>2</v>
      </c>
      <c r="B13" s="19" t="s">
        <v>387</v>
      </c>
      <c r="C13" s="9">
        <v>87</v>
      </c>
      <c r="D13" s="9">
        <v>52.2</v>
      </c>
      <c r="E13" s="9">
        <v>43</v>
      </c>
      <c r="F13" s="9">
        <v>25.8</v>
      </c>
      <c r="G13" s="9">
        <v>0</v>
      </c>
      <c r="H13" s="9">
        <v>0</v>
      </c>
      <c r="I13" s="201">
        <v>44</v>
      </c>
      <c r="J13" s="201">
        <v>26.4</v>
      </c>
      <c r="K13" s="9"/>
      <c r="L13" s="388">
        <v>0</v>
      </c>
      <c r="M13" s="388">
        <v>0</v>
      </c>
    </row>
    <row r="14" spans="1:15" ht="17.25" customHeight="1">
      <c r="A14" s="8">
        <v>3</v>
      </c>
      <c r="B14" s="19" t="s">
        <v>388</v>
      </c>
      <c r="C14" s="9">
        <v>38048</v>
      </c>
      <c r="D14" s="9">
        <v>22828.8</v>
      </c>
      <c r="E14" s="9">
        <v>32355</v>
      </c>
      <c r="F14" s="9">
        <v>19413</v>
      </c>
      <c r="G14" s="9">
        <v>0</v>
      </c>
      <c r="H14" s="9">
        <v>0</v>
      </c>
      <c r="I14" s="201">
        <v>5693</v>
      </c>
      <c r="J14" s="201">
        <v>3415.8</v>
      </c>
      <c r="K14" s="9"/>
      <c r="L14" s="938" t="s">
        <v>995</v>
      </c>
      <c r="M14" s="939"/>
      <c r="N14" s="939"/>
      <c r="O14" s="939"/>
    </row>
    <row r="15" spans="1:11" ht="17.25" customHeight="1">
      <c r="A15" s="8">
        <v>4</v>
      </c>
      <c r="B15" s="19" t="s">
        <v>389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201">
        <v>0</v>
      </c>
      <c r="J15" s="201">
        <v>0</v>
      </c>
      <c r="K15" s="9"/>
    </row>
    <row r="16" spans="1:13" ht="17.25" customHeight="1">
      <c r="A16" s="8">
        <v>5</v>
      </c>
      <c r="B16" s="19" t="s">
        <v>390</v>
      </c>
      <c r="C16" s="9">
        <v>1355</v>
      </c>
      <c r="D16" s="9">
        <v>1899.1</v>
      </c>
      <c r="E16" s="9">
        <v>1249</v>
      </c>
      <c r="F16" s="9">
        <v>1740.75</v>
      </c>
      <c r="G16" s="9">
        <v>0</v>
      </c>
      <c r="H16" s="9">
        <v>0</v>
      </c>
      <c r="I16" s="201">
        <v>51</v>
      </c>
      <c r="J16" s="201">
        <f>D16-F16</f>
        <v>158.3499999999999</v>
      </c>
      <c r="K16" s="9"/>
      <c r="L16" s="388">
        <v>55</v>
      </c>
      <c r="M16" s="388">
        <v>75.51</v>
      </c>
    </row>
    <row r="17" spans="1:13" ht="17.25" customHeight="1">
      <c r="A17" s="8">
        <v>6</v>
      </c>
      <c r="B17" s="19" t="s">
        <v>391</v>
      </c>
      <c r="C17" s="9">
        <v>7876</v>
      </c>
      <c r="D17" s="9">
        <v>11014.37</v>
      </c>
      <c r="E17" s="9">
        <v>5425</v>
      </c>
      <c r="F17" s="9">
        <v>7572.36</v>
      </c>
      <c r="G17" s="9">
        <v>31</v>
      </c>
      <c r="H17" s="9">
        <v>0</v>
      </c>
      <c r="I17" s="201">
        <v>1585</v>
      </c>
      <c r="J17" s="201">
        <f>D17-F17</f>
        <v>3442.010000000001</v>
      </c>
      <c r="K17" s="9"/>
      <c r="L17" s="392">
        <v>835</v>
      </c>
      <c r="M17" s="392">
        <v>1249.32</v>
      </c>
    </row>
    <row r="18" spans="1:11" ht="17.25" customHeight="1">
      <c r="A18" s="8">
        <v>7</v>
      </c>
      <c r="B18" s="19" t="s">
        <v>392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/>
    </row>
    <row r="19" spans="1:11" s="13" customFormat="1" ht="14.25" customHeight="1">
      <c r="A19" s="8">
        <v>8</v>
      </c>
      <c r="B19" s="19" t="s">
        <v>263</v>
      </c>
      <c r="C19" s="9">
        <v>6000</v>
      </c>
      <c r="D19" s="9">
        <v>7834.98</v>
      </c>
      <c r="E19" s="9">
        <v>1193</v>
      </c>
      <c r="F19" s="9">
        <v>1890.13</v>
      </c>
      <c r="G19" s="9">
        <v>515</v>
      </c>
      <c r="H19" s="9">
        <v>0</v>
      </c>
      <c r="I19" s="9">
        <v>4292</v>
      </c>
      <c r="J19" s="9">
        <f>D19-F19</f>
        <v>5944.849999999999</v>
      </c>
      <c r="K19" s="9"/>
    </row>
    <row r="20" spans="1:11" s="13" customFormat="1" ht="14.25" customHeight="1">
      <c r="A20" s="8">
        <v>9</v>
      </c>
      <c r="B20" s="19" t="s">
        <v>367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/>
    </row>
    <row r="21" spans="1:11" s="13" customFormat="1" ht="14.25" customHeight="1">
      <c r="A21" s="8">
        <v>10</v>
      </c>
      <c r="B21" s="19" t="s">
        <v>529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/>
    </row>
    <row r="22" spans="1:11" s="13" customFormat="1" ht="14.25" customHeight="1">
      <c r="A22" s="8">
        <v>11</v>
      </c>
      <c r="B22" s="19" t="s">
        <v>490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/>
    </row>
    <row r="23" spans="1:11" s="13" customFormat="1" ht="14.25" customHeight="1">
      <c r="A23" s="8">
        <v>12</v>
      </c>
      <c r="B23" s="19" t="s">
        <v>528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/>
    </row>
    <row r="24" spans="1:14" s="13" customFormat="1" ht="15.75" customHeight="1">
      <c r="A24" s="3" t="s">
        <v>19</v>
      </c>
      <c r="B24" s="9"/>
      <c r="C24" s="9">
        <v>71783</v>
      </c>
      <c r="D24" s="9">
        <v>54679.65</v>
      </c>
      <c r="E24" s="9">
        <v>58090</v>
      </c>
      <c r="F24" s="9">
        <v>41255.92</v>
      </c>
      <c r="G24" s="9">
        <v>546</v>
      </c>
      <c r="H24" s="9">
        <v>0</v>
      </c>
      <c r="I24" s="9">
        <v>11832</v>
      </c>
      <c r="J24" s="9">
        <v>11848.15</v>
      </c>
      <c r="K24" s="9"/>
      <c r="L24" s="13">
        <f>C24-E24-G24-I24</f>
        <v>1315</v>
      </c>
      <c r="M24" s="390">
        <v>1575.58</v>
      </c>
      <c r="N24" s="13">
        <f>D24-F24-M24</f>
        <v>11848.150000000003</v>
      </c>
    </row>
    <row r="25" s="13" customFormat="1" ht="12.75">
      <c r="A25" s="11"/>
    </row>
    <row r="26" s="13" customFormat="1" ht="12.75">
      <c r="A26" s="11"/>
    </row>
    <row r="27" s="13" customFormat="1" ht="12.75">
      <c r="A27" s="11"/>
    </row>
    <row r="28" spans="2:16" s="16" customFormat="1" ht="13.5" customHeight="1">
      <c r="B28" s="83"/>
      <c r="C28" s="83"/>
      <c r="D28" s="748" t="s">
        <v>1021</v>
      </c>
      <c r="E28" s="748"/>
      <c r="F28" s="748"/>
      <c r="G28" s="83"/>
      <c r="I28" s="748" t="s">
        <v>1024</v>
      </c>
      <c r="J28" s="748"/>
      <c r="K28" s="748"/>
      <c r="L28" s="83"/>
      <c r="M28" s="83"/>
      <c r="N28" s="83"/>
      <c r="O28" s="83"/>
      <c r="P28" s="83"/>
    </row>
    <row r="29" spans="1:16" s="16" customFormat="1" ht="12.75" customHeight="1">
      <c r="A29" s="83"/>
      <c r="B29" s="83"/>
      <c r="C29" s="83"/>
      <c r="D29" s="748" t="s">
        <v>1022</v>
      </c>
      <c r="E29" s="748"/>
      <c r="F29" s="748"/>
      <c r="G29" s="83"/>
      <c r="I29" s="748" t="s">
        <v>1025</v>
      </c>
      <c r="J29" s="748"/>
      <c r="K29" s="748"/>
      <c r="L29" s="83"/>
      <c r="M29" s="83"/>
      <c r="N29" s="83"/>
      <c r="O29" s="83"/>
      <c r="P29" s="83"/>
    </row>
    <row r="30" spans="1:16" s="16" customFormat="1" ht="12.75" customHeight="1">
      <c r="A30" s="83"/>
      <c r="B30" s="83"/>
      <c r="C30" s="83"/>
      <c r="D30" s="735" t="s">
        <v>1023</v>
      </c>
      <c r="E30" s="735"/>
      <c r="F30" s="735"/>
      <c r="G30" s="36"/>
      <c r="I30" s="735" t="s">
        <v>1023</v>
      </c>
      <c r="J30" s="735"/>
      <c r="K30" s="735"/>
      <c r="L30" s="83"/>
      <c r="M30" s="83"/>
      <c r="N30" s="83"/>
      <c r="O30" s="83"/>
      <c r="P30" s="83"/>
    </row>
    <row r="31" spans="1:9" s="16" customFormat="1" ht="12.75">
      <c r="A31" s="15" t="s">
        <v>22</v>
      </c>
      <c r="B31" s="15"/>
      <c r="C31" s="15"/>
      <c r="D31" s="15"/>
      <c r="E31" s="15"/>
      <c r="F31" s="15"/>
      <c r="H31" s="735"/>
      <c r="I31" s="735"/>
    </row>
    <row r="32" s="16" customFormat="1" ht="12.75">
      <c r="A32" s="15"/>
    </row>
    <row r="33" spans="1:10" ht="12.75">
      <c r="A33" s="805"/>
      <c r="B33" s="805"/>
      <c r="C33" s="805"/>
      <c r="D33" s="805"/>
      <c r="E33" s="805"/>
      <c r="F33" s="805"/>
      <c r="G33" s="805"/>
      <c r="H33" s="805"/>
      <c r="I33" s="805"/>
      <c r="J33" s="805"/>
    </row>
  </sheetData>
  <sheetProtection/>
  <mergeCells count="24">
    <mergeCell ref="K9:K10"/>
    <mergeCell ref="I7:K7"/>
    <mergeCell ref="E7:H7"/>
    <mergeCell ref="C8:J8"/>
    <mergeCell ref="D30:F30"/>
    <mergeCell ref="H31:I31"/>
    <mergeCell ref="G9:H9"/>
    <mergeCell ref="I9:J9"/>
    <mergeCell ref="L14:O14"/>
    <mergeCell ref="D1:E1"/>
    <mergeCell ref="I1:J1"/>
    <mergeCell ref="A2:J2"/>
    <mergeCell ref="A3:J3"/>
    <mergeCell ref="A5:K5"/>
    <mergeCell ref="I28:K28"/>
    <mergeCell ref="I29:K29"/>
    <mergeCell ref="D28:F28"/>
    <mergeCell ref="D29:F29"/>
    <mergeCell ref="A33:J33"/>
    <mergeCell ref="A9:A10"/>
    <mergeCell ref="B9:B10"/>
    <mergeCell ref="C9:D9"/>
    <mergeCell ref="E9:F9"/>
    <mergeCell ref="I30:K30"/>
  </mergeCells>
  <printOptions horizontalCentered="1"/>
  <pageMargins left="0.7086614173228347" right="0.7086614173228347" top="0.33" bottom="0" header="0.31496062992125984" footer="0.31496062992125984"/>
  <pageSetup fitToHeight="1" fitToWidth="1" horizontalDpi="600" verticalDpi="600" orientation="landscape" paperSize="9" scale="86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view="pageBreakPreview" zoomScale="90" zoomScaleSheetLayoutView="90" zoomScalePageLayoutView="0" workbookViewId="0" topLeftCell="A1">
      <pane xSplit="2" ySplit="11" topLeftCell="E5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55" sqref="E55:G55"/>
    </sheetView>
  </sheetViews>
  <sheetFormatPr defaultColWidth="9.140625" defaultRowHeight="12.75"/>
  <cols>
    <col min="2" max="2" width="15.57421875" style="0" customWidth="1"/>
    <col min="3" max="3" width="16.28125" style="0" customWidth="1"/>
    <col min="4" max="4" width="15.8515625" style="0" customWidth="1"/>
    <col min="5" max="5" width="11.57421875" style="0" customWidth="1"/>
    <col min="6" max="6" width="15.00390625" style="0" customWidth="1"/>
    <col min="7" max="7" width="9.7109375" style="0" customWidth="1"/>
    <col min="8" max="8" width="15.140625" style="0" customWidth="1"/>
    <col min="9" max="9" width="16.57421875" style="0" customWidth="1"/>
    <col min="10" max="10" width="18.28125" style="0" customWidth="1"/>
    <col min="11" max="11" width="14.140625" style="0" customWidth="1"/>
    <col min="12" max="19" width="0" style="0" hidden="1" customWidth="1"/>
  </cols>
  <sheetData>
    <row r="1" spans="1:11" ht="16.5">
      <c r="A1" s="350"/>
      <c r="B1" s="350"/>
      <c r="C1" s="350"/>
      <c r="D1" s="816"/>
      <c r="E1" s="816"/>
      <c r="F1" s="350"/>
      <c r="G1" s="350"/>
      <c r="H1" s="464"/>
      <c r="I1" s="941" t="s">
        <v>393</v>
      </c>
      <c r="J1" s="941"/>
      <c r="K1" s="350"/>
    </row>
    <row r="2" spans="1:11" ht="16.5">
      <c r="A2" s="815" t="s">
        <v>0</v>
      </c>
      <c r="B2" s="815"/>
      <c r="C2" s="815"/>
      <c r="D2" s="815"/>
      <c r="E2" s="815"/>
      <c r="F2" s="815"/>
      <c r="G2" s="815"/>
      <c r="H2" s="815"/>
      <c r="I2" s="815"/>
      <c r="J2" s="815"/>
      <c r="K2" s="350"/>
    </row>
    <row r="3" spans="1:11" ht="16.5">
      <c r="A3" s="816" t="s">
        <v>690</v>
      </c>
      <c r="B3" s="816"/>
      <c r="C3" s="816"/>
      <c r="D3" s="816"/>
      <c r="E3" s="816"/>
      <c r="F3" s="816"/>
      <c r="G3" s="816"/>
      <c r="H3" s="816"/>
      <c r="I3" s="816"/>
      <c r="J3" s="816"/>
      <c r="K3" s="350"/>
    </row>
    <row r="4" spans="1:11" ht="10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1" s="16" customFormat="1" ht="18.75" customHeight="1">
      <c r="A5" s="813" t="s">
        <v>452</v>
      </c>
      <c r="B5" s="813"/>
      <c r="C5" s="813"/>
      <c r="D5" s="813"/>
      <c r="E5" s="813"/>
      <c r="F5" s="813"/>
      <c r="G5" s="813"/>
      <c r="H5" s="813"/>
      <c r="I5" s="813"/>
      <c r="J5" s="813"/>
      <c r="K5" s="813"/>
    </row>
    <row r="6" spans="1:11" s="16" customFormat="1" ht="15.75" customHeight="1">
      <c r="A6" s="465"/>
      <c r="B6" s="465"/>
      <c r="C6" s="465"/>
      <c r="D6" s="465"/>
      <c r="E6" s="465"/>
      <c r="F6" s="465"/>
      <c r="G6" s="465"/>
      <c r="H6" s="465"/>
      <c r="I6" s="465"/>
      <c r="J6" s="465"/>
      <c r="K6" s="350"/>
    </row>
    <row r="7" spans="1:11" s="16" customFormat="1" ht="16.5">
      <c r="A7" s="208" t="s">
        <v>1020</v>
      </c>
      <c r="B7" s="208"/>
      <c r="C7" s="209"/>
      <c r="D7" s="350"/>
      <c r="E7" s="875"/>
      <c r="F7" s="875"/>
      <c r="G7" s="875"/>
      <c r="H7" s="875"/>
      <c r="I7" s="875" t="s">
        <v>823</v>
      </c>
      <c r="J7" s="875"/>
      <c r="K7" s="875"/>
    </row>
    <row r="8" spans="1:11" s="14" customFormat="1" ht="16.5" hidden="1">
      <c r="A8" s="348"/>
      <c r="B8" s="348"/>
      <c r="C8" s="815" t="s">
        <v>16</v>
      </c>
      <c r="D8" s="815"/>
      <c r="E8" s="815"/>
      <c r="F8" s="815"/>
      <c r="G8" s="815"/>
      <c r="H8" s="815"/>
      <c r="I8" s="815"/>
      <c r="J8" s="815"/>
      <c r="K8" s="348"/>
    </row>
    <row r="9" spans="1:19" ht="30" customHeight="1">
      <c r="A9" s="865" t="s">
        <v>24</v>
      </c>
      <c r="B9" s="865" t="s">
        <v>37</v>
      </c>
      <c r="C9" s="880" t="s">
        <v>691</v>
      </c>
      <c r="D9" s="882"/>
      <c r="E9" s="880" t="s">
        <v>38</v>
      </c>
      <c r="F9" s="882"/>
      <c r="G9" s="880" t="s">
        <v>39</v>
      </c>
      <c r="H9" s="882"/>
      <c r="I9" s="817" t="s">
        <v>105</v>
      </c>
      <c r="J9" s="817"/>
      <c r="K9" s="865" t="s">
        <v>248</v>
      </c>
      <c r="R9" s="9"/>
      <c r="S9" s="13"/>
    </row>
    <row r="10" spans="1:11" s="15" customFormat="1" ht="42" customHeight="1">
      <c r="A10" s="866"/>
      <c r="B10" s="866"/>
      <c r="C10" s="371" t="s">
        <v>40</v>
      </c>
      <c r="D10" s="371" t="s">
        <v>993</v>
      </c>
      <c r="E10" s="371" t="s">
        <v>40</v>
      </c>
      <c r="F10" s="371" t="s">
        <v>993</v>
      </c>
      <c r="G10" s="371" t="s">
        <v>40</v>
      </c>
      <c r="H10" s="371" t="s">
        <v>993</v>
      </c>
      <c r="I10" s="371" t="s">
        <v>137</v>
      </c>
      <c r="J10" s="371" t="s">
        <v>138</v>
      </c>
      <c r="K10" s="866"/>
    </row>
    <row r="11" spans="1:11" ht="16.5">
      <c r="A11" s="466">
        <v>1</v>
      </c>
      <c r="B11" s="466">
        <v>2</v>
      </c>
      <c r="C11" s="466">
        <v>3</v>
      </c>
      <c r="D11" s="466">
        <v>4</v>
      </c>
      <c r="E11" s="466">
        <v>5</v>
      </c>
      <c r="F11" s="466">
        <v>6</v>
      </c>
      <c r="G11" s="466">
        <v>7</v>
      </c>
      <c r="H11" s="466">
        <v>8</v>
      </c>
      <c r="I11" s="466">
        <v>9</v>
      </c>
      <c r="J11" s="466">
        <v>10</v>
      </c>
      <c r="K11" s="347">
        <v>11</v>
      </c>
    </row>
    <row r="12" spans="1:18" ht="16.5">
      <c r="A12" s="349">
        <v>1</v>
      </c>
      <c r="B12" s="373" t="s">
        <v>870</v>
      </c>
      <c r="C12" s="468">
        <v>4396</v>
      </c>
      <c r="D12" s="469">
        <v>2643</v>
      </c>
      <c r="E12" s="468">
        <v>3753</v>
      </c>
      <c r="F12" s="469">
        <v>1997.7</v>
      </c>
      <c r="G12" s="470">
        <v>31</v>
      </c>
      <c r="H12" s="471">
        <v>0</v>
      </c>
      <c r="I12" s="468">
        <v>612</v>
      </c>
      <c r="J12" s="469">
        <v>645.3</v>
      </c>
      <c r="K12" s="349"/>
      <c r="L12" s="343">
        <f>D12-F12-H12-J12</f>
        <v>0</v>
      </c>
      <c r="M12">
        <f>C12-E12-G12-I12</f>
        <v>0</v>
      </c>
      <c r="P12" s="343">
        <f>J12+L12</f>
        <v>645.3</v>
      </c>
      <c r="Q12">
        <v>3902</v>
      </c>
      <c r="R12" s="504">
        <v>4396</v>
      </c>
    </row>
    <row r="13" spans="1:18" ht="16.5">
      <c r="A13" s="349">
        <v>2</v>
      </c>
      <c r="B13" s="373" t="s">
        <v>871</v>
      </c>
      <c r="C13" s="468">
        <v>1331</v>
      </c>
      <c r="D13" s="469">
        <v>1261.76</v>
      </c>
      <c r="E13" s="468">
        <v>1045</v>
      </c>
      <c r="F13" s="469">
        <v>1007.85</v>
      </c>
      <c r="G13" s="470">
        <v>7</v>
      </c>
      <c r="H13" s="471">
        <v>0</v>
      </c>
      <c r="I13" s="468">
        <v>279</v>
      </c>
      <c r="J13" s="469">
        <v>253.91</v>
      </c>
      <c r="K13" s="349"/>
      <c r="L13" s="343">
        <f aca="true" t="shared" si="0" ref="L13:L47">D13-F13-H13-J13</f>
        <v>0</v>
      </c>
      <c r="M13">
        <f aca="true" t="shared" si="1" ref="M13:M47">C13-E13-G13-I13</f>
        <v>0</v>
      </c>
      <c r="P13" s="343">
        <f aca="true" t="shared" si="2" ref="P13:P46">J13+L13</f>
        <v>253.91</v>
      </c>
      <c r="Q13">
        <v>1329</v>
      </c>
      <c r="R13" s="504">
        <v>1331</v>
      </c>
    </row>
    <row r="14" spans="1:18" ht="16.5">
      <c r="A14" s="349">
        <v>3</v>
      </c>
      <c r="B14" s="373" t="s">
        <v>872</v>
      </c>
      <c r="C14" s="468">
        <v>2190</v>
      </c>
      <c r="D14" s="469">
        <v>1653.22</v>
      </c>
      <c r="E14" s="544">
        <v>1800</v>
      </c>
      <c r="F14" s="545">
        <v>1278.34</v>
      </c>
      <c r="G14" s="470">
        <v>15</v>
      </c>
      <c r="H14" s="471">
        <v>0</v>
      </c>
      <c r="I14" s="468">
        <v>375</v>
      </c>
      <c r="J14" s="469">
        <v>374.88</v>
      </c>
      <c r="K14" s="468">
        <v>0</v>
      </c>
      <c r="L14" s="343">
        <f t="shared" si="0"/>
        <v>0</v>
      </c>
      <c r="M14">
        <f t="shared" si="1"/>
        <v>0</v>
      </c>
      <c r="N14" s="343">
        <f>J14+L14</f>
        <v>374.88</v>
      </c>
      <c r="P14" s="343">
        <f t="shared" si="2"/>
        <v>374.88</v>
      </c>
      <c r="Q14">
        <v>2204</v>
      </c>
      <c r="R14" s="504">
        <v>2190</v>
      </c>
    </row>
    <row r="15" spans="1:18" ht="16.5">
      <c r="A15" s="349">
        <v>4</v>
      </c>
      <c r="B15" s="373" t="s">
        <v>873</v>
      </c>
      <c r="C15" s="468">
        <v>2215</v>
      </c>
      <c r="D15" s="469">
        <v>1729.65</v>
      </c>
      <c r="E15" s="544">
        <v>1846</v>
      </c>
      <c r="F15" s="545">
        <v>1338.95</v>
      </c>
      <c r="G15" s="470">
        <v>0</v>
      </c>
      <c r="H15" s="471">
        <v>0</v>
      </c>
      <c r="I15" s="468">
        <v>369</v>
      </c>
      <c r="J15" s="469">
        <v>390.7</v>
      </c>
      <c r="K15" s="468">
        <v>0</v>
      </c>
      <c r="L15" s="343">
        <f t="shared" si="0"/>
        <v>0</v>
      </c>
      <c r="M15">
        <f t="shared" si="1"/>
        <v>0</v>
      </c>
      <c r="P15" s="343">
        <f t="shared" si="2"/>
        <v>390.7</v>
      </c>
      <c r="Q15">
        <v>1904</v>
      </c>
      <c r="R15" s="504">
        <v>2215</v>
      </c>
    </row>
    <row r="16" spans="1:18" ht="16.5">
      <c r="A16" s="349">
        <v>5</v>
      </c>
      <c r="B16" s="373" t="s">
        <v>874</v>
      </c>
      <c r="C16" s="468">
        <v>2442</v>
      </c>
      <c r="D16" s="469">
        <v>1990.17</v>
      </c>
      <c r="E16" s="544">
        <v>1900</v>
      </c>
      <c r="F16" s="545">
        <v>1471.17</v>
      </c>
      <c r="G16" s="470">
        <v>0</v>
      </c>
      <c r="H16" s="471">
        <v>0</v>
      </c>
      <c r="I16" s="468">
        <v>542</v>
      </c>
      <c r="J16" s="469">
        <v>519</v>
      </c>
      <c r="K16" s="468"/>
      <c r="L16" s="343">
        <f t="shared" si="0"/>
        <v>0</v>
      </c>
      <c r="M16">
        <f t="shared" si="1"/>
        <v>0</v>
      </c>
      <c r="P16" s="343">
        <f t="shared" si="2"/>
        <v>519</v>
      </c>
      <c r="Q16">
        <v>1642</v>
      </c>
      <c r="R16" s="504">
        <v>2442</v>
      </c>
    </row>
    <row r="17" spans="1:18" ht="16.5">
      <c r="A17" s="349">
        <v>6</v>
      </c>
      <c r="B17" s="373" t="s">
        <v>875</v>
      </c>
      <c r="C17" s="468">
        <v>1138</v>
      </c>
      <c r="D17" s="469">
        <v>879.13</v>
      </c>
      <c r="E17" s="544">
        <v>934</v>
      </c>
      <c r="F17" s="545">
        <v>751.13</v>
      </c>
      <c r="G17" s="470">
        <v>0</v>
      </c>
      <c r="H17" s="471">
        <v>0</v>
      </c>
      <c r="I17" s="468">
        <v>204</v>
      </c>
      <c r="J17" s="469">
        <v>128</v>
      </c>
      <c r="K17" s="468"/>
      <c r="L17" s="343">
        <f t="shared" si="0"/>
        <v>0</v>
      </c>
      <c r="M17">
        <f t="shared" si="1"/>
        <v>0</v>
      </c>
      <c r="N17" s="343">
        <f>F17+L17</f>
        <v>751.13</v>
      </c>
      <c r="P17" s="343">
        <f t="shared" si="2"/>
        <v>128</v>
      </c>
      <c r="Q17">
        <v>1007</v>
      </c>
      <c r="R17" s="504">
        <v>1138</v>
      </c>
    </row>
    <row r="18" spans="1:18" ht="16.5">
      <c r="A18" s="349">
        <v>7</v>
      </c>
      <c r="B18" s="373" t="s">
        <v>876</v>
      </c>
      <c r="C18" s="468">
        <v>1857</v>
      </c>
      <c r="D18" s="469">
        <v>1641.15</v>
      </c>
      <c r="E18" s="544">
        <v>1676</v>
      </c>
      <c r="F18" s="545">
        <v>1310.85</v>
      </c>
      <c r="G18" s="470">
        <v>8</v>
      </c>
      <c r="H18" s="471">
        <v>0</v>
      </c>
      <c r="I18" s="468">
        <v>173</v>
      </c>
      <c r="J18" s="469">
        <v>182.38</v>
      </c>
      <c r="K18" s="468">
        <v>0</v>
      </c>
      <c r="L18" s="343">
        <f t="shared" si="0"/>
        <v>147.9200000000002</v>
      </c>
      <c r="M18">
        <f t="shared" si="1"/>
        <v>0</v>
      </c>
      <c r="N18" s="343">
        <f>J18+L18</f>
        <v>330.3000000000002</v>
      </c>
      <c r="P18" s="343">
        <f t="shared" si="2"/>
        <v>330.3000000000002</v>
      </c>
      <c r="Q18">
        <v>1794</v>
      </c>
      <c r="R18" s="504">
        <v>1857</v>
      </c>
    </row>
    <row r="19" spans="1:18" ht="16.5">
      <c r="A19" s="349">
        <v>8</v>
      </c>
      <c r="B19" s="373" t="s">
        <v>877</v>
      </c>
      <c r="C19" s="374">
        <v>1799</v>
      </c>
      <c r="D19" s="375">
        <v>1279.34</v>
      </c>
      <c r="E19" s="468">
        <v>1588</v>
      </c>
      <c r="F19" s="469">
        <v>1050.34</v>
      </c>
      <c r="G19" s="470">
        <v>45</v>
      </c>
      <c r="H19" s="471">
        <v>0</v>
      </c>
      <c r="I19" s="468">
        <v>166</v>
      </c>
      <c r="J19" s="469">
        <v>196.32</v>
      </c>
      <c r="K19" s="374">
        <v>0</v>
      </c>
      <c r="L19" s="343">
        <f t="shared" si="0"/>
        <v>32.68000000000001</v>
      </c>
      <c r="M19">
        <f t="shared" si="1"/>
        <v>0</v>
      </c>
      <c r="P19" s="343">
        <f t="shared" si="2"/>
        <v>229</v>
      </c>
      <c r="Q19">
        <v>1919</v>
      </c>
      <c r="R19" s="504">
        <v>1799</v>
      </c>
    </row>
    <row r="20" spans="1:18" ht="16.5">
      <c r="A20" s="349">
        <v>9</v>
      </c>
      <c r="B20" s="373" t="s">
        <v>878</v>
      </c>
      <c r="C20" s="374">
        <v>1431</v>
      </c>
      <c r="D20" s="375">
        <v>1099.4</v>
      </c>
      <c r="E20" s="468">
        <v>1124</v>
      </c>
      <c r="F20" s="469">
        <v>817.81</v>
      </c>
      <c r="G20" s="470">
        <v>0</v>
      </c>
      <c r="H20" s="471">
        <v>0</v>
      </c>
      <c r="I20" s="468">
        <v>307</v>
      </c>
      <c r="J20" s="469">
        <v>281.59</v>
      </c>
      <c r="K20" s="374"/>
      <c r="L20" s="343">
        <f t="shared" si="0"/>
        <v>0</v>
      </c>
      <c r="M20">
        <f t="shared" si="1"/>
        <v>0</v>
      </c>
      <c r="P20" s="343">
        <f t="shared" si="2"/>
        <v>281.59</v>
      </c>
      <c r="Q20">
        <v>1507</v>
      </c>
      <c r="R20" s="504">
        <v>1431</v>
      </c>
    </row>
    <row r="21" spans="1:18" ht="16.5">
      <c r="A21" s="349">
        <v>10</v>
      </c>
      <c r="B21" s="373" t="s">
        <v>879</v>
      </c>
      <c r="C21" s="374">
        <v>1752</v>
      </c>
      <c r="D21" s="375">
        <v>1084.18</v>
      </c>
      <c r="E21" s="468">
        <v>1292</v>
      </c>
      <c r="F21" s="469">
        <v>707.67</v>
      </c>
      <c r="G21" s="470">
        <v>5</v>
      </c>
      <c r="H21" s="471">
        <v>0</v>
      </c>
      <c r="I21" s="468">
        <v>455</v>
      </c>
      <c r="J21" s="469">
        <v>376.51</v>
      </c>
      <c r="K21" s="374"/>
      <c r="L21" s="343">
        <f t="shared" si="0"/>
        <v>0</v>
      </c>
      <c r="M21">
        <f t="shared" si="1"/>
        <v>0</v>
      </c>
      <c r="P21" s="343">
        <f t="shared" si="2"/>
        <v>376.51</v>
      </c>
      <c r="Q21">
        <v>1592</v>
      </c>
      <c r="R21" s="504">
        <v>1752</v>
      </c>
    </row>
    <row r="22" spans="1:18" ht="16.5">
      <c r="A22" s="349">
        <v>11</v>
      </c>
      <c r="B22" s="373" t="s">
        <v>880</v>
      </c>
      <c r="C22" s="374">
        <v>1243</v>
      </c>
      <c r="D22" s="375">
        <v>1105.42</v>
      </c>
      <c r="E22" s="468">
        <v>1061</v>
      </c>
      <c r="F22" s="469">
        <v>900.42</v>
      </c>
      <c r="G22" s="470">
        <v>8</v>
      </c>
      <c r="H22" s="471">
        <v>0</v>
      </c>
      <c r="I22" s="468">
        <v>174</v>
      </c>
      <c r="J22" s="469">
        <v>153</v>
      </c>
      <c r="K22" s="374"/>
      <c r="L22" s="343">
        <f t="shared" si="0"/>
        <v>52.000000000000114</v>
      </c>
      <c r="M22">
        <f t="shared" si="1"/>
        <v>0</v>
      </c>
      <c r="P22" s="343">
        <f t="shared" si="2"/>
        <v>205.0000000000001</v>
      </c>
      <c r="Q22">
        <v>1229</v>
      </c>
      <c r="R22" s="504">
        <v>1243</v>
      </c>
    </row>
    <row r="23" spans="1:18" ht="16.5">
      <c r="A23" s="349">
        <v>12</v>
      </c>
      <c r="B23" s="373" t="s">
        <v>881</v>
      </c>
      <c r="C23" s="374">
        <v>657</v>
      </c>
      <c r="D23" s="375">
        <v>460.36</v>
      </c>
      <c r="E23" s="468">
        <v>435</v>
      </c>
      <c r="F23" s="469">
        <v>288.6</v>
      </c>
      <c r="G23" s="470">
        <v>0</v>
      </c>
      <c r="H23" s="471">
        <v>0</v>
      </c>
      <c r="I23" s="468">
        <v>222</v>
      </c>
      <c r="J23" s="469">
        <v>171.76</v>
      </c>
      <c r="K23" s="374"/>
      <c r="L23" s="343">
        <f t="shared" si="0"/>
        <v>0</v>
      </c>
      <c r="M23">
        <f t="shared" si="1"/>
        <v>0</v>
      </c>
      <c r="P23" s="343">
        <f t="shared" si="2"/>
        <v>171.76</v>
      </c>
      <c r="Q23">
        <v>334</v>
      </c>
      <c r="R23" s="504">
        <v>657</v>
      </c>
    </row>
    <row r="24" spans="1:18" ht="16.5">
      <c r="A24" s="349">
        <v>13</v>
      </c>
      <c r="B24" s="373" t="s">
        <v>882</v>
      </c>
      <c r="C24" s="374">
        <v>2210</v>
      </c>
      <c r="D24" s="375">
        <v>1688.65</v>
      </c>
      <c r="E24" s="468">
        <v>1796</v>
      </c>
      <c r="F24" s="469">
        <v>1287.01</v>
      </c>
      <c r="G24" s="470">
        <v>0</v>
      </c>
      <c r="H24" s="471">
        <v>0</v>
      </c>
      <c r="I24" s="468">
        <v>414</v>
      </c>
      <c r="J24" s="469">
        <v>401.64</v>
      </c>
      <c r="K24" s="374"/>
      <c r="L24" s="343">
        <f t="shared" si="0"/>
        <v>0</v>
      </c>
      <c r="M24">
        <f t="shared" si="1"/>
        <v>0</v>
      </c>
      <c r="P24" s="343">
        <f t="shared" si="2"/>
        <v>401.64</v>
      </c>
      <c r="Q24">
        <v>2302</v>
      </c>
      <c r="R24" s="504">
        <v>2210</v>
      </c>
    </row>
    <row r="25" spans="1:18" ht="16.5">
      <c r="A25" s="349">
        <v>14</v>
      </c>
      <c r="B25" s="373" t="s">
        <v>883</v>
      </c>
      <c r="C25" s="374">
        <v>1198</v>
      </c>
      <c r="D25" s="375">
        <v>1487.53</v>
      </c>
      <c r="E25" s="468">
        <v>928</v>
      </c>
      <c r="F25" s="469">
        <v>1096.24</v>
      </c>
      <c r="G25" s="470">
        <v>19</v>
      </c>
      <c r="H25" s="471">
        <v>0</v>
      </c>
      <c r="I25" s="468">
        <v>251</v>
      </c>
      <c r="J25" s="469">
        <v>262</v>
      </c>
      <c r="K25" s="374"/>
      <c r="L25" s="343">
        <f t="shared" si="0"/>
        <v>129.28999999999996</v>
      </c>
      <c r="M25">
        <f t="shared" si="1"/>
        <v>0</v>
      </c>
      <c r="P25" s="343">
        <f t="shared" si="2"/>
        <v>391.28999999999996</v>
      </c>
      <c r="Q25">
        <v>950</v>
      </c>
      <c r="R25" s="504">
        <v>1198</v>
      </c>
    </row>
    <row r="26" spans="1:18" ht="16.5">
      <c r="A26" s="349">
        <v>15</v>
      </c>
      <c r="B26" s="373" t="s">
        <v>884</v>
      </c>
      <c r="C26" s="374">
        <v>2623</v>
      </c>
      <c r="D26" s="375">
        <v>1826.8</v>
      </c>
      <c r="E26" s="468">
        <v>2421</v>
      </c>
      <c r="F26" s="469">
        <v>1413.8</v>
      </c>
      <c r="G26" s="470">
        <v>7</v>
      </c>
      <c r="H26" s="471">
        <v>0</v>
      </c>
      <c r="I26" s="468">
        <v>195</v>
      </c>
      <c r="J26" s="469">
        <v>286</v>
      </c>
      <c r="K26" s="374"/>
      <c r="L26" s="343">
        <f t="shared" si="0"/>
        <v>127</v>
      </c>
      <c r="M26">
        <f t="shared" si="1"/>
        <v>0</v>
      </c>
      <c r="N26" s="343">
        <f>F26+L26</f>
        <v>1540.8</v>
      </c>
      <c r="P26" s="343">
        <f t="shared" si="2"/>
        <v>413</v>
      </c>
      <c r="Q26">
        <v>2510</v>
      </c>
      <c r="R26" s="504">
        <v>2623</v>
      </c>
    </row>
    <row r="27" spans="1:18" ht="16.5">
      <c r="A27" s="349">
        <v>16</v>
      </c>
      <c r="B27" s="373" t="s">
        <v>885</v>
      </c>
      <c r="C27" s="374">
        <v>1618</v>
      </c>
      <c r="D27" s="375">
        <v>1336.31</v>
      </c>
      <c r="E27" s="468">
        <v>1150</v>
      </c>
      <c r="F27" s="469">
        <v>773.31</v>
      </c>
      <c r="G27" s="470">
        <v>3</v>
      </c>
      <c r="H27" s="471">
        <v>0</v>
      </c>
      <c r="I27" s="468">
        <v>465</v>
      </c>
      <c r="J27" s="469">
        <v>475</v>
      </c>
      <c r="K27" s="374"/>
      <c r="L27" s="343">
        <f t="shared" si="0"/>
        <v>88</v>
      </c>
      <c r="M27">
        <f t="shared" si="1"/>
        <v>0</v>
      </c>
      <c r="P27" s="343">
        <f t="shared" si="2"/>
        <v>563</v>
      </c>
      <c r="Q27">
        <v>1533</v>
      </c>
      <c r="R27" s="504">
        <v>1618</v>
      </c>
    </row>
    <row r="28" spans="1:18" ht="16.5">
      <c r="A28" s="349">
        <v>17</v>
      </c>
      <c r="B28" s="373" t="s">
        <v>886</v>
      </c>
      <c r="C28" s="374">
        <v>0</v>
      </c>
      <c r="D28" s="375">
        <v>0</v>
      </c>
      <c r="E28" s="468">
        <v>0</v>
      </c>
      <c r="F28" s="469">
        <v>0</v>
      </c>
      <c r="G28" s="470">
        <v>0</v>
      </c>
      <c r="H28" s="471">
        <v>0</v>
      </c>
      <c r="I28" s="468">
        <v>0</v>
      </c>
      <c r="J28" s="469">
        <v>0</v>
      </c>
      <c r="K28" s="374">
        <v>0</v>
      </c>
      <c r="L28" s="343">
        <f t="shared" si="0"/>
        <v>0</v>
      </c>
      <c r="M28">
        <f t="shared" si="1"/>
        <v>0</v>
      </c>
      <c r="P28" s="343">
        <f t="shared" si="2"/>
        <v>0</v>
      </c>
      <c r="Q28">
        <v>1206</v>
      </c>
      <c r="R28" s="504">
        <v>0</v>
      </c>
    </row>
    <row r="29" spans="1:18" ht="16.5">
      <c r="A29" s="349">
        <v>18</v>
      </c>
      <c r="B29" s="373" t="s">
        <v>887</v>
      </c>
      <c r="C29" s="374">
        <v>1802</v>
      </c>
      <c r="D29" s="375">
        <v>1605.63</v>
      </c>
      <c r="E29" s="468">
        <v>1347</v>
      </c>
      <c r="F29" s="469">
        <v>1077.31</v>
      </c>
      <c r="G29" s="470">
        <v>3</v>
      </c>
      <c r="H29" s="471">
        <v>0</v>
      </c>
      <c r="I29" s="468">
        <v>452</v>
      </c>
      <c r="J29" s="469">
        <v>528.32</v>
      </c>
      <c r="K29" s="374">
        <v>108</v>
      </c>
      <c r="L29" s="343">
        <f t="shared" si="0"/>
        <v>0</v>
      </c>
      <c r="M29">
        <f t="shared" si="1"/>
        <v>0</v>
      </c>
      <c r="N29" s="343">
        <f>D29-L29</f>
        <v>1605.63</v>
      </c>
      <c r="O29">
        <v>825.12</v>
      </c>
      <c r="P29" s="343">
        <f t="shared" si="2"/>
        <v>528.32</v>
      </c>
      <c r="Q29">
        <v>2448</v>
      </c>
      <c r="R29" s="504">
        <v>1802</v>
      </c>
    </row>
    <row r="30" spans="1:18" ht="16.5">
      <c r="A30" s="349">
        <v>19</v>
      </c>
      <c r="B30" s="373" t="s">
        <v>888</v>
      </c>
      <c r="C30" s="374">
        <v>2945</v>
      </c>
      <c r="D30" s="375">
        <v>2328.88</v>
      </c>
      <c r="E30" s="468">
        <v>2420</v>
      </c>
      <c r="F30" s="469">
        <v>1519.42</v>
      </c>
      <c r="G30" s="470">
        <v>22</v>
      </c>
      <c r="H30" s="471">
        <v>0</v>
      </c>
      <c r="I30" s="468">
        <v>503</v>
      </c>
      <c r="J30" s="469">
        <v>538</v>
      </c>
      <c r="K30" s="374"/>
      <c r="L30" s="343">
        <f t="shared" si="0"/>
        <v>271.46000000000004</v>
      </c>
      <c r="M30">
        <f t="shared" si="1"/>
        <v>0</v>
      </c>
      <c r="P30" s="343">
        <f t="shared" si="2"/>
        <v>809.46</v>
      </c>
      <c r="Q30">
        <v>2674</v>
      </c>
      <c r="R30" s="504">
        <v>2945</v>
      </c>
    </row>
    <row r="31" spans="1:18" ht="16.5">
      <c r="A31" s="349">
        <v>20</v>
      </c>
      <c r="B31" s="373" t="s">
        <v>889</v>
      </c>
      <c r="C31" s="374">
        <v>1713</v>
      </c>
      <c r="D31" s="375">
        <v>1228.5</v>
      </c>
      <c r="E31" s="468">
        <v>1337</v>
      </c>
      <c r="F31" s="469">
        <v>723</v>
      </c>
      <c r="G31" s="470">
        <v>0</v>
      </c>
      <c r="H31" s="471">
        <v>0</v>
      </c>
      <c r="I31" s="468">
        <v>376</v>
      </c>
      <c r="J31" s="469">
        <v>375.5</v>
      </c>
      <c r="K31" s="374">
        <v>0</v>
      </c>
      <c r="L31" s="343">
        <f t="shared" si="0"/>
        <v>130</v>
      </c>
      <c r="M31">
        <f t="shared" si="1"/>
        <v>0</v>
      </c>
      <c r="P31" s="343">
        <f t="shared" si="2"/>
        <v>505.5</v>
      </c>
      <c r="Q31">
        <v>1471</v>
      </c>
      <c r="R31" s="504">
        <v>1713</v>
      </c>
    </row>
    <row r="32" spans="1:18" ht="16.5">
      <c r="A32" s="349">
        <v>21</v>
      </c>
      <c r="B32" s="373" t="s">
        <v>890</v>
      </c>
      <c r="C32" s="374">
        <v>3307</v>
      </c>
      <c r="D32" s="375">
        <v>2531.25</v>
      </c>
      <c r="E32" s="468">
        <v>2870</v>
      </c>
      <c r="F32" s="469">
        <v>2022.25</v>
      </c>
      <c r="G32" s="470">
        <v>0</v>
      </c>
      <c r="H32" s="471">
        <v>0</v>
      </c>
      <c r="I32" s="468">
        <v>437</v>
      </c>
      <c r="J32" s="469">
        <v>459</v>
      </c>
      <c r="K32" s="374"/>
      <c r="L32" s="343">
        <f t="shared" si="0"/>
        <v>50</v>
      </c>
      <c r="M32">
        <f t="shared" si="1"/>
        <v>0</v>
      </c>
      <c r="N32" s="75">
        <f>3718-3307</f>
        <v>411</v>
      </c>
      <c r="O32">
        <f>C32-N32</f>
        <v>2896</v>
      </c>
      <c r="P32" s="343">
        <f t="shared" si="2"/>
        <v>509</v>
      </c>
      <c r="Q32">
        <v>3718</v>
      </c>
      <c r="R32" s="504">
        <v>3307</v>
      </c>
    </row>
    <row r="33" spans="1:18" ht="16.5">
      <c r="A33" s="349">
        <v>22</v>
      </c>
      <c r="B33" s="373" t="s">
        <v>891</v>
      </c>
      <c r="C33" s="374">
        <v>1359</v>
      </c>
      <c r="D33" s="375">
        <v>989.17</v>
      </c>
      <c r="E33" s="468">
        <v>1029</v>
      </c>
      <c r="F33" s="469">
        <v>748.3</v>
      </c>
      <c r="G33" s="470">
        <v>8</v>
      </c>
      <c r="H33" s="471">
        <v>0</v>
      </c>
      <c r="I33" s="468">
        <v>322</v>
      </c>
      <c r="J33" s="469">
        <v>236.87</v>
      </c>
      <c r="K33" s="374"/>
      <c r="L33" s="343">
        <f t="shared" si="0"/>
        <v>4</v>
      </c>
      <c r="M33">
        <f t="shared" si="1"/>
        <v>0</v>
      </c>
      <c r="N33" s="75"/>
      <c r="O33">
        <f>C33-N33</f>
        <v>1359</v>
      </c>
      <c r="P33" s="343">
        <f t="shared" si="2"/>
        <v>240.87</v>
      </c>
      <c r="Q33">
        <v>975</v>
      </c>
      <c r="R33" s="504">
        <v>1359</v>
      </c>
    </row>
    <row r="34" spans="1:18" ht="16.5">
      <c r="A34" s="349">
        <v>23</v>
      </c>
      <c r="B34" s="373" t="s">
        <v>892</v>
      </c>
      <c r="C34" s="374">
        <v>1762</v>
      </c>
      <c r="D34" s="375">
        <v>1289.68</v>
      </c>
      <c r="E34" s="468">
        <v>1382</v>
      </c>
      <c r="F34" s="469">
        <v>1064.68</v>
      </c>
      <c r="G34" s="470">
        <v>25</v>
      </c>
      <c r="H34" s="471">
        <v>0</v>
      </c>
      <c r="I34" s="468">
        <v>355</v>
      </c>
      <c r="J34" s="469">
        <v>225</v>
      </c>
      <c r="K34" s="374">
        <v>0</v>
      </c>
      <c r="L34" s="343">
        <f t="shared" si="0"/>
        <v>0</v>
      </c>
      <c r="M34">
        <f t="shared" si="1"/>
        <v>0</v>
      </c>
      <c r="N34" s="75"/>
      <c r="O34">
        <f>C34-N34</f>
        <v>1762</v>
      </c>
      <c r="P34" s="343">
        <f t="shared" si="2"/>
        <v>225</v>
      </c>
      <c r="Q34">
        <v>1363</v>
      </c>
      <c r="R34" s="504">
        <v>1762</v>
      </c>
    </row>
    <row r="35" spans="1:18" ht="16.5">
      <c r="A35" s="349">
        <v>24</v>
      </c>
      <c r="B35" s="373" t="s">
        <v>893</v>
      </c>
      <c r="C35" s="374">
        <v>4115</v>
      </c>
      <c r="D35" s="375">
        <v>3099.95</v>
      </c>
      <c r="E35" s="468">
        <v>3546</v>
      </c>
      <c r="F35" s="469">
        <v>2625.08</v>
      </c>
      <c r="G35" s="470">
        <v>7</v>
      </c>
      <c r="H35" s="471">
        <v>0</v>
      </c>
      <c r="I35" s="468">
        <v>562</v>
      </c>
      <c r="J35" s="469">
        <v>474.87</v>
      </c>
      <c r="K35" s="374"/>
      <c r="L35" s="343">
        <f t="shared" si="0"/>
        <v>0</v>
      </c>
      <c r="M35">
        <f t="shared" si="1"/>
        <v>0</v>
      </c>
      <c r="N35" s="75">
        <f>4633-4115</f>
        <v>518</v>
      </c>
      <c r="O35">
        <f>C35-N35</f>
        <v>3597</v>
      </c>
      <c r="P35" s="343">
        <f t="shared" si="2"/>
        <v>474.87</v>
      </c>
      <c r="Q35">
        <v>4633</v>
      </c>
      <c r="R35" s="504">
        <v>4115</v>
      </c>
    </row>
    <row r="36" spans="1:18" ht="16.5">
      <c r="A36" s="349">
        <v>25</v>
      </c>
      <c r="B36" s="373" t="s">
        <v>894</v>
      </c>
      <c r="C36" s="374">
        <v>2756</v>
      </c>
      <c r="D36" s="375">
        <v>2061.08</v>
      </c>
      <c r="E36" s="468">
        <v>2380</v>
      </c>
      <c r="F36" s="469">
        <v>1603.07</v>
      </c>
      <c r="G36" s="470">
        <v>21</v>
      </c>
      <c r="H36" s="471">
        <v>0</v>
      </c>
      <c r="I36" s="468">
        <v>355</v>
      </c>
      <c r="J36" s="469">
        <v>364.01</v>
      </c>
      <c r="K36" s="374"/>
      <c r="L36" s="343">
        <f t="shared" si="0"/>
        <v>94</v>
      </c>
      <c r="M36">
        <f t="shared" si="1"/>
        <v>0</v>
      </c>
      <c r="N36" s="75">
        <f>2909-2756</f>
        <v>153</v>
      </c>
      <c r="O36">
        <f>C36-N36</f>
        <v>2603</v>
      </c>
      <c r="P36" s="343">
        <f t="shared" si="2"/>
        <v>458.01</v>
      </c>
      <c r="Q36">
        <v>3116</v>
      </c>
      <c r="R36" s="504">
        <v>2756</v>
      </c>
    </row>
    <row r="37" spans="1:18" ht="16.5">
      <c r="A37" s="349">
        <v>26</v>
      </c>
      <c r="B37" s="373" t="s">
        <v>895</v>
      </c>
      <c r="C37" s="374">
        <v>3060</v>
      </c>
      <c r="D37" s="375">
        <v>2408.19</v>
      </c>
      <c r="E37" s="468">
        <v>2808</v>
      </c>
      <c r="F37" s="469">
        <v>1988.99</v>
      </c>
      <c r="G37" s="470">
        <v>29</v>
      </c>
      <c r="H37" s="471">
        <v>0</v>
      </c>
      <c r="I37" s="468">
        <v>223</v>
      </c>
      <c r="J37" s="469">
        <v>254.2</v>
      </c>
      <c r="K37" s="374"/>
      <c r="L37" s="343">
        <f t="shared" si="0"/>
        <v>165.00000000000006</v>
      </c>
      <c r="M37">
        <f t="shared" si="1"/>
        <v>0</v>
      </c>
      <c r="P37" s="343">
        <f t="shared" si="2"/>
        <v>419.20000000000005</v>
      </c>
      <c r="Q37">
        <v>3238</v>
      </c>
      <c r="R37" s="504">
        <v>3060</v>
      </c>
    </row>
    <row r="38" spans="1:18" ht="16.5">
      <c r="A38" s="349">
        <v>27</v>
      </c>
      <c r="B38" s="373" t="s">
        <v>896</v>
      </c>
      <c r="C38" s="374">
        <v>2243</v>
      </c>
      <c r="D38" s="375">
        <v>1244.7</v>
      </c>
      <c r="E38" s="468">
        <v>1779</v>
      </c>
      <c r="F38" s="469">
        <v>873.75</v>
      </c>
      <c r="G38" s="470">
        <v>58</v>
      </c>
      <c r="H38" s="471">
        <v>0</v>
      </c>
      <c r="I38" s="468">
        <v>406</v>
      </c>
      <c r="J38" s="469">
        <v>370.95</v>
      </c>
      <c r="K38" s="374">
        <v>0</v>
      </c>
      <c r="L38" s="343">
        <f t="shared" si="0"/>
        <v>0</v>
      </c>
      <c r="M38">
        <f t="shared" si="1"/>
        <v>0</v>
      </c>
      <c r="P38" s="343">
        <f t="shared" si="2"/>
        <v>370.95</v>
      </c>
      <c r="Q38">
        <v>2097</v>
      </c>
      <c r="R38" s="504">
        <v>2243</v>
      </c>
    </row>
    <row r="39" spans="1:18" ht="16.5">
      <c r="A39" s="349">
        <v>28</v>
      </c>
      <c r="B39" s="373" t="s">
        <v>897</v>
      </c>
      <c r="C39" s="374">
        <v>3569</v>
      </c>
      <c r="D39" s="375">
        <v>2362.38</v>
      </c>
      <c r="E39" s="468">
        <v>2985</v>
      </c>
      <c r="F39" s="469">
        <v>1709.65</v>
      </c>
      <c r="G39" s="470">
        <v>11</v>
      </c>
      <c r="H39" s="471">
        <v>0</v>
      </c>
      <c r="I39" s="468">
        <v>573</v>
      </c>
      <c r="J39" s="469">
        <v>652.73</v>
      </c>
      <c r="K39" s="374">
        <v>0</v>
      </c>
      <c r="L39" s="343">
        <f t="shared" si="0"/>
        <v>0</v>
      </c>
      <c r="M39">
        <f t="shared" si="1"/>
        <v>0</v>
      </c>
      <c r="P39" s="343">
        <f t="shared" si="2"/>
        <v>652.73</v>
      </c>
      <c r="Q39">
        <v>3079</v>
      </c>
      <c r="R39" s="504">
        <v>3569</v>
      </c>
    </row>
    <row r="40" spans="1:18" ht="16.5">
      <c r="A40" s="349">
        <v>29</v>
      </c>
      <c r="B40" s="373" t="s">
        <v>898</v>
      </c>
      <c r="C40" s="374">
        <v>1551</v>
      </c>
      <c r="D40" s="375">
        <v>1412.21</v>
      </c>
      <c r="E40" s="468">
        <v>1336</v>
      </c>
      <c r="F40" s="469">
        <v>1197</v>
      </c>
      <c r="G40" s="470">
        <v>7</v>
      </c>
      <c r="H40" s="471">
        <v>0</v>
      </c>
      <c r="I40" s="468">
        <v>208</v>
      </c>
      <c r="J40" s="469">
        <v>205.21</v>
      </c>
      <c r="K40" s="374">
        <v>0</v>
      </c>
      <c r="L40" s="343">
        <f t="shared" si="0"/>
        <v>10.000000000000028</v>
      </c>
      <c r="M40">
        <f t="shared" si="1"/>
        <v>0</v>
      </c>
      <c r="P40" s="343">
        <f t="shared" si="2"/>
        <v>215.21000000000004</v>
      </c>
      <c r="Q40">
        <v>1786</v>
      </c>
      <c r="R40" s="504">
        <v>1551</v>
      </c>
    </row>
    <row r="41" spans="1:18" ht="16.5">
      <c r="A41" s="349">
        <v>30</v>
      </c>
      <c r="B41" s="373" t="s">
        <v>899</v>
      </c>
      <c r="C41" s="374">
        <v>3299</v>
      </c>
      <c r="D41" s="375">
        <v>2825.47</v>
      </c>
      <c r="E41" s="468">
        <v>2838</v>
      </c>
      <c r="F41" s="469">
        <v>2245.47</v>
      </c>
      <c r="G41" s="470">
        <v>56</v>
      </c>
      <c r="H41" s="471">
        <v>0</v>
      </c>
      <c r="I41" s="468">
        <v>405</v>
      </c>
      <c r="J41" s="469">
        <v>437</v>
      </c>
      <c r="K41" s="374"/>
      <c r="L41" s="343">
        <f t="shared" si="0"/>
        <v>143</v>
      </c>
      <c r="M41">
        <f t="shared" si="1"/>
        <v>0</v>
      </c>
      <c r="P41" s="343">
        <f t="shared" si="2"/>
        <v>580</v>
      </c>
      <c r="Q41">
        <v>3290</v>
      </c>
      <c r="R41" s="504">
        <v>3299</v>
      </c>
    </row>
    <row r="42" spans="1:18" ht="16.5">
      <c r="A42" s="349">
        <v>31</v>
      </c>
      <c r="B42" s="373" t="s">
        <v>900</v>
      </c>
      <c r="C42" s="374">
        <v>1926</v>
      </c>
      <c r="D42" s="375">
        <v>1400.74</v>
      </c>
      <c r="E42" s="468">
        <v>1537</v>
      </c>
      <c r="F42" s="469">
        <v>1060</v>
      </c>
      <c r="G42" s="470">
        <v>7</v>
      </c>
      <c r="H42" s="471">
        <v>0</v>
      </c>
      <c r="I42" s="468">
        <v>382</v>
      </c>
      <c r="J42" s="469">
        <v>340.74</v>
      </c>
      <c r="K42" s="374"/>
      <c r="L42" s="343">
        <f t="shared" si="0"/>
        <v>0</v>
      </c>
      <c r="M42">
        <f t="shared" si="1"/>
        <v>0</v>
      </c>
      <c r="P42" s="343">
        <f t="shared" si="2"/>
        <v>340.74</v>
      </c>
      <c r="Q42">
        <v>1926</v>
      </c>
      <c r="R42" s="504">
        <v>1926</v>
      </c>
    </row>
    <row r="43" spans="1:18" ht="16.5">
      <c r="A43" s="349">
        <v>32</v>
      </c>
      <c r="B43" s="373" t="s">
        <v>901</v>
      </c>
      <c r="C43" s="374">
        <v>1665</v>
      </c>
      <c r="D43" s="375">
        <v>1210.91</v>
      </c>
      <c r="E43" s="468">
        <v>1200</v>
      </c>
      <c r="F43" s="469">
        <v>745.45</v>
      </c>
      <c r="G43" s="470">
        <v>0</v>
      </c>
      <c r="H43" s="471">
        <v>0</v>
      </c>
      <c r="I43" s="468">
        <v>465</v>
      </c>
      <c r="J43" s="469">
        <v>435.46</v>
      </c>
      <c r="K43" s="374">
        <v>0</v>
      </c>
      <c r="L43" s="343">
        <f t="shared" si="0"/>
        <v>30.000000000000057</v>
      </c>
      <c r="M43">
        <f t="shared" si="1"/>
        <v>0</v>
      </c>
      <c r="P43" s="343">
        <f t="shared" si="2"/>
        <v>465.46000000000004</v>
      </c>
      <c r="Q43">
        <v>2335</v>
      </c>
      <c r="R43" s="504">
        <v>1665</v>
      </c>
    </row>
    <row r="44" spans="1:18" ht="16.5">
      <c r="A44" s="349">
        <v>33</v>
      </c>
      <c r="B44" s="373" t="s">
        <v>902</v>
      </c>
      <c r="C44" s="374">
        <v>1245</v>
      </c>
      <c r="D44" s="375">
        <v>1006.33</v>
      </c>
      <c r="E44" s="468">
        <v>1030</v>
      </c>
      <c r="F44" s="469">
        <v>672.34</v>
      </c>
      <c r="G44" s="470">
        <v>27</v>
      </c>
      <c r="H44" s="471">
        <v>0</v>
      </c>
      <c r="I44" s="468">
        <v>188</v>
      </c>
      <c r="J44" s="469">
        <v>232.76</v>
      </c>
      <c r="K44" s="374"/>
      <c r="L44" s="343">
        <f t="shared" si="0"/>
        <v>101.23000000000002</v>
      </c>
      <c r="M44">
        <f t="shared" si="1"/>
        <v>0</v>
      </c>
      <c r="P44" s="343">
        <f t="shared" si="2"/>
        <v>333.99</v>
      </c>
      <c r="Q44">
        <v>1191</v>
      </c>
      <c r="R44" s="504">
        <v>1245</v>
      </c>
    </row>
    <row r="45" spans="1:18" ht="16.5">
      <c r="A45" s="349">
        <v>34</v>
      </c>
      <c r="B45" s="373" t="s">
        <v>903</v>
      </c>
      <c r="C45" s="374">
        <v>1039</v>
      </c>
      <c r="D45" s="375">
        <v>819.98</v>
      </c>
      <c r="E45" s="468">
        <v>781</v>
      </c>
      <c r="F45" s="469">
        <v>596.95</v>
      </c>
      <c r="G45" s="470">
        <v>0</v>
      </c>
      <c r="H45" s="471">
        <v>0</v>
      </c>
      <c r="I45" s="468">
        <f>C45-E45</f>
        <v>258</v>
      </c>
      <c r="J45" s="469">
        <f>D45-F45</f>
        <v>223.02999999999997</v>
      </c>
      <c r="K45" s="374"/>
      <c r="L45" s="343">
        <f t="shared" si="0"/>
        <v>0</v>
      </c>
      <c r="M45">
        <f t="shared" si="1"/>
        <v>0</v>
      </c>
      <c r="P45" s="343">
        <f t="shared" si="2"/>
        <v>223.02999999999997</v>
      </c>
      <c r="Q45">
        <v>1003</v>
      </c>
      <c r="R45" s="504">
        <v>1039</v>
      </c>
    </row>
    <row r="46" spans="1:18" ht="16.5">
      <c r="A46" s="349">
        <v>35</v>
      </c>
      <c r="B46" s="373" t="s">
        <v>904</v>
      </c>
      <c r="C46" s="374">
        <v>2327</v>
      </c>
      <c r="D46" s="375">
        <v>1688.53</v>
      </c>
      <c r="E46" s="468">
        <v>2051</v>
      </c>
      <c r="F46" s="469">
        <v>1292.02</v>
      </c>
      <c r="G46" s="470">
        <v>117</v>
      </c>
      <c r="H46" s="471">
        <v>0</v>
      </c>
      <c r="I46" s="468">
        <v>159</v>
      </c>
      <c r="J46" s="469">
        <v>396.51</v>
      </c>
      <c r="K46" s="374">
        <v>0</v>
      </c>
      <c r="L46" s="343">
        <f t="shared" si="0"/>
        <v>0</v>
      </c>
      <c r="M46">
        <f t="shared" si="1"/>
        <v>0</v>
      </c>
      <c r="P46" s="343">
        <f t="shared" si="2"/>
        <v>396.51</v>
      </c>
      <c r="Q46">
        <v>2576</v>
      </c>
      <c r="R46" s="504">
        <v>2327</v>
      </c>
    </row>
    <row r="47" spans="1:17" s="13" customFormat="1" ht="16.5">
      <c r="A47" s="347" t="s">
        <v>19</v>
      </c>
      <c r="B47" s="374"/>
      <c r="C47" s="374">
        <f aca="true" t="shared" si="3" ref="C47:J47">SUM(C12:C46)</f>
        <v>71783</v>
      </c>
      <c r="D47" s="375">
        <f t="shared" si="3"/>
        <v>54679.65</v>
      </c>
      <c r="E47" s="468">
        <f t="shared" si="3"/>
        <v>59405</v>
      </c>
      <c r="F47" s="375">
        <f t="shared" si="3"/>
        <v>41255.91999999999</v>
      </c>
      <c r="G47" s="470">
        <f t="shared" si="3"/>
        <v>546</v>
      </c>
      <c r="H47" s="375">
        <v>0</v>
      </c>
      <c r="I47" s="374">
        <f>SUM(I12:I46)</f>
        <v>11832</v>
      </c>
      <c r="J47" s="375">
        <f t="shared" si="3"/>
        <v>11848.15</v>
      </c>
      <c r="K47" s="374"/>
      <c r="L47" s="343">
        <f t="shared" si="0"/>
        <v>1575.5800000000108</v>
      </c>
      <c r="M47">
        <f t="shared" si="1"/>
        <v>0</v>
      </c>
      <c r="Q47" s="13">
        <v>71783</v>
      </c>
    </row>
    <row r="48" spans="1:11" s="13" customFormat="1" ht="16.5">
      <c r="A48" s="472" t="s">
        <v>41</v>
      </c>
      <c r="B48" s="473"/>
      <c r="C48" s="473"/>
      <c r="D48" s="473"/>
      <c r="E48" s="473"/>
      <c r="F48" s="473"/>
      <c r="G48" s="473"/>
      <c r="H48" s="473"/>
      <c r="I48" s="473"/>
      <c r="J48" s="473"/>
      <c r="K48" s="473"/>
    </row>
    <row r="49" spans="1:12" s="13" customFormat="1" ht="16.5">
      <c r="A49" s="472"/>
      <c r="B49" s="473"/>
      <c r="C49" s="473"/>
      <c r="D49" s="474"/>
      <c r="E49" s="475"/>
      <c r="F49" s="476"/>
      <c r="G49" s="477"/>
      <c r="H49" s="474"/>
      <c r="I49" s="473"/>
      <c r="J49" s="473"/>
      <c r="K49" s="473"/>
      <c r="L49" s="390">
        <v>1575.58</v>
      </c>
    </row>
    <row r="50" spans="1:12" s="13" customFormat="1" ht="16.5">
      <c r="A50" s="472"/>
      <c r="B50" s="473"/>
      <c r="C50" s="473"/>
      <c r="D50" s="478"/>
      <c r="E50" s="473"/>
      <c r="F50" s="478"/>
      <c r="G50" s="478"/>
      <c r="H50" s="478"/>
      <c r="I50" s="478"/>
      <c r="J50" s="478"/>
      <c r="K50" s="478"/>
      <c r="L50" s="391">
        <f>L47-L49</f>
        <v>1.0913936421275139E-11</v>
      </c>
    </row>
    <row r="51" spans="1:11" s="13" customFormat="1" ht="16.5">
      <c r="A51" s="472"/>
      <c r="B51" s="473"/>
      <c r="C51" s="473"/>
      <c r="D51" s="473"/>
      <c r="E51" s="473"/>
      <c r="F51" s="473"/>
      <c r="G51" s="473"/>
      <c r="H51" s="473"/>
      <c r="I51" s="473"/>
      <c r="J51" s="473"/>
      <c r="K51" s="473"/>
    </row>
    <row r="52" spans="1:16" s="16" customFormat="1" ht="18" customHeight="1">
      <c r="A52" s="350"/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83"/>
      <c r="M52" s="83"/>
      <c r="N52" s="83"/>
      <c r="O52" s="83"/>
      <c r="P52" s="83"/>
    </row>
    <row r="53" spans="1:16" s="16" customFormat="1" ht="17.25" customHeight="1">
      <c r="A53" s="463"/>
      <c r="B53" s="463"/>
      <c r="C53" s="463"/>
      <c r="D53" s="463"/>
      <c r="E53" s="748" t="s">
        <v>1021</v>
      </c>
      <c r="F53" s="748"/>
      <c r="G53" s="748"/>
      <c r="H53" s="83"/>
      <c r="I53" s="748" t="s">
        <v>1024</v>
      </c>
      <c r="J53" s="748"/>
      <c r="K53" s="748"/>
      <c r="L53" s="83"/>
      <c r="M53" s="83"/>
      <c r="N53" s="83"/>
      <c r="O53" s="83"/>
      <c r="P53" s="83"/>
    </row>
    <row r="54" spans="1:16" s="16" customFormat="1" ht="18" customHeight="1">
      <c r="A54" s="463"/>
      <c r="B54" s="463"/>
      <c r="C54" s="463"/>
      <c r="D54" s="463"/>
      <c r="E54" s="748" t="s">
        <v>1022</v>
      </c>
      <c r="F54" s="748"/>
      <c r="G54" s="748"/>
      <c r="H54" s="83"/>
      <c r="I54" s="748" t="s">
        <v>1025</v>
      </c>
      <c r="J54" s="748"/>
      <c r="K54" s="748"/>
      <c r="L54" s="83"/>
      <c r="M54" s="83"/>
      <c r="N54" s="83"/>
      <c r="O54" s="83"/>
      <c r="P54" s="83"/>
    </row>
    <row r="55" spans="1:11" s="16" customFormat="1" ht="16.5">
      <c r="A55" s="348" t="s">
        <v>22</v>
      </c>
      <c r="B55" s="348"/>
      <c r="C55" s="348"/>
      <c r="D55" s="348"/>
      <c r="E55" s="735" t="s">
        <v>1023</v>
      </c>
      <c r="F55" s="735"/>
      <c r="G55" s="735"/>
      <c r="H55" s="36"/>
      <c r="I55" s="735" t="s">
        <v>1023</v>
      </c>
      <c r="J55" s="735"/>
      <c r="K55" s="735"/>
    </row>
    <row r="56" s="16" customFormat="1" ht="12.75">
      <c r="A56" s="15"/>
    </row>
    <row r="57" spans="1:10" ht="12.75">
      <c r="A57" s="805"/>
      <c r="B57" s="805"/>
      <c r="C57" s="805"/>
      <c r="D57" s="805"/>
      <c r="E57" s="805"/>
      <c r="F57" s="805"/>
      <c r="G57" s="805"/>
      <c r="H57" s="805"/>
      <c r="I57" s="805"/>
      <c r="J57" s="805"/>
    </row>
  </sheetData>
  <sheetProtection/>
  <mergeCells count="22">
    <mergeCell ref="A5:K5"/>
    <mergeCell ref="B9:B10"/>
    <mergeCell ref="A9:A10"/>
    <mergeCell ref="A57:J57"/>
    <mergeCell ref="E9:F9"/>
    <mergeCell ref="C9:D9"/>
    <mergeCell ref="A2:J2"/>
    <mergeCell ref="I53:K53"/>
    <mergeCell ref="K9:K10"/>
    <mergeCell ref="C8:J8"/>
    <mergeCell ref="E7:H7"/>
    <mergeCell ref="A3:J3"/>
    <mergeCell ref="I54:K54"/>
    <mergeCell ref="I55:K55"/>
    <mergeCell ref="E53:G53"/>
    <mergeCell ref="E54:G54"/>
    <mergeCell ref="E55:G55"/>
    <mergeCell ref="I1:J1"/>
    <mergeCell ref="G9:H9"/>
    <mergeCell ref="I9:J9"/>
    <mergeCell ref="D1:E1"/>
    <mergeCell ref="I7:K7"/>
  </mergeCells>
  <printOptions horizontalCentered="1"/>
  <pageMargins left="0.7086614173228347" right="0.7086614173228347" top="0.2362204724409449" bottom="0" header="0.26" footer="0.26"/>
  <pageSetup fitToHeight="1" fitToWidth="1" horizontalDpi="600" verticalDpi="600" orientation="landscape" paperSize="9" scale="6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SheetLayoutView="90" zoomScalePageLayoutView="0" workbookViewId="0" topLeftCell="A1">
      <pane xSplit="2" ySplit="11" topLeftCell="C4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50" sqref="C50:F50"/>
    </sheetView>
  </sheetViews>
  <sheetFormatPr defaultColWidth="9.140625" defaultRowHeight="12.75"/>
  <cols>
    <col min="2" max="2" width="19.00390625" style="0" customWidth="1"/>
    <col min="3" max="3" width="15.140625" style="0" customWidth="1"/>
    <col min="4" max="4" width="15.8515625" style="0" customWidth="1"/>
    <col min="5" max="5" width="9.85156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</cols>
  <sheetData>
    <row r="1" spans="4:11" ht="22.5" customHeight="1">
      <c r="D1" s="735"/>
      <c r="E1" s="735"/>
      <c r="H1" s="43"/>
      <c r="J1" s="810" t="s">
        <v>69</v>
      </c>
      <c r="K1" s="810"/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18">
      <c r="A3" s="843" t="s">
        <v>656</v>
      </c>
      <c r="B3" s="843"/>
      <c r="C3" s="843"/>
      <c r="D3" s="843"/>
      <c r="E3" s="843"/>
      <c r="F3" s="843"/>
      <c r="G3" s="843"/>
      <c r="H3" s="843"/>
      <c r="I3" s="843"/>
      <c r="J3" s="843"/>
    </row>
    <row r="4" ht="10.5" customHeight="1"/>
    <row r="5" spans="1:12" s="16" customFormat="1" ht="15.75" customHeight="1">
      <c r="A5" s="942" t="s">
        <v>453</v>
      </c>
      <c r="B5" s="942"/>
      <c r="C5" s="942"/>
      <c r="D5" s="942"/>
      <c r="E5" s="942"/>
      <c r="F5" s="942"/>
      <c r="G5" s="942"/>
      <c r="H5" s="942"/>
      <c r="I5" s="942"/>
      <c r="J5" s="942"/>
      <c r="K5" s="942"/>
      <c r="L5" s="404"/>
    </row>
    <row r="6" spans="1:10" s="16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6" customFormat="1" ht="12.75">
      <c r="A7" s="208" t="s">
        <v>1020</v>
      </c>
      <c r="B7" s="208"/>
      <c r="C7" s="209"/>
      <c r="I7" s="898" t="s">
        <v>823</v>
      </c>
      <c r="J7" s="898"/>
      <c r="K7" s="898"/>
    </row>
    <row r="8" spans="3:10" s="14" customFormat="1" ht="15.75" hidden="1">
      <c r="C8" s="811" t="s">
        <v>16</v>
      </c>
      <c r="D8" s="811"/>
      <c r="E8" s="811"/>
      <c r="F8" s="811"/>
      <c r="G8" s="811"/>
      <c r="H8" s="811"/>
      <c r="I8" s="811"/>
      <c r="J8" s="811"/>
    </row>
    <row r="9" spans="1:19" ht="30" customHeight="1">
      <c r="A9" s="808" t="s">
        <v>24</v>
      </c>
      <c r="B9" s="808" t="s">
        <v>37</v>
      </c>
      <c r="C9" s="696" t="s">
        <v>692</v>
      </c>
      <c r="D9" s="698"/>
      <c r="E9" s="696" t="s">
        <v>493</v>
      </c>
      <c r="F9" s="698"/>
      <c r="G9" s="696" t="s">
        <v>39</v>
      </c>
      <c r="H9" s="698"/>
      <c r="I9" s="709" t="s">
        <v>105</v>
      </c>
      <c r="J9" s="709"/>
      <c r="K9" s="808" t="s">
        <v>249</v>
      </c>
      <c r="R9" s="13"/>
      <c r="S9" s="13"/>
    </row>
    <row r="10" spans="1:11" s="669" customFormat="1" ht="29.25" customHeight="1">
      <c r="A10" s="809"/>
      <c r="B10" s="809"/>
      <c r="C10" s="668" t="s">
        <v>40</v>
      </c>
      <c r="D10" s="668" t="s">
        <v>1026</v>
      </c>
      <c r="E10" s="668" t="s">
        <v>40</v>
      </c>
      <c r="F10" s="668" t="s">
        <v>1026</v>
      </c>
      <c r="G10" s="668" t="s">
        <v>40</v>
      </c>
      <c r="H10" s="668" t="s">
        <v>1026</v>
      </c>
      <c r="I10" s="668" t="s">
        <v>137</v>
      </c>
      <c r="J10" s="668" t="s">
        <v>138</v>
      </c>
      <c r="K10" s="809"/>
    </row>
    <row r="11" spans="1:1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12.75">
      <c r="A12" s="8">
        <v>1</v>
      </c>
      <c r="B12" s="328" t="s">
        <v>870</v>
      </c>
      <c r="C12" s="329">
        <v>6828</v>
      </c>
      <c r="D12" s="384">
        <v>341.4</v>
      </c>
      <c r="E12" s="329">
        <v>6828</v>
      </c>
      <c r="F12" s="384">
        <v>341.4</v>
      </c>
      <c r="G12" s="329">
        <v>0</v>
      </c>
      <c r="H12" s="329">
        <v>0</v>
      </c>
      <c r="I12" s="329">
        <v>0</v>
      </c>
      <c r="J12" s="329">
        <v>0</v>
      </c>
      <c r="K12" s="329">
        <v>0</v>
      </c>
    </row>
    <row r="13" spans="1:11" ht="12.75">
      <c r="A13" s="8">
        <v>2</v>
      </c>
      <c r="B13" s="328" t="s">
        <v>871</v>
      </c>
      <c r="C13" s="329">
        <v>2991</v>
      </c>
      <c r="D13" s="384">
        <v>149.55</v>
      </c>
      <c r="E13" s="329">
        <v>2991</v>
      </c>
      <c r="F13" s="384">
        <v>149.55</v>
      </c>
      <c r="G13" s="329">
        <v>0</v>
      </c>
      <c r="H13" s="329">
        <v>0</v>
      </c>
      <c r="I13" s="329">
        <v>0</v>
      </c>
      <c r="J13" s="329">
        <v>0</v>
      </c>
      <c r="K13" s="329">
        <v>0</v>
      </c>
    </row>
    <row r="14" spans="1:11" ht="12.75">
      <c r="A14" s="8">
        <v>3</v>
      </c>
      <c r="B14" s="328" t="s">
        <v>872</v>
      </c>
      <c r="C14" s="329">
        <v>4921</v>
      </c>
      <c r="D14" s="384">
        <v>246.05</v>
      </c>
      <c r="E14" s="329">
        <v>4921</v>
      </c>
      <c r="F14" s="384">
        <v>246.05</v>
      </c>
      <c r="G14" s="329">
        <v>0</v>
      </c>
      <c r="H14" s="329">
        <v>0</v>
      </c>
      <c r="I14" s="329">
        <v>0</v>
      </c>
      <c r="J14" s="329">
        <v>0</v>
      </c>
      <c r="K14" s="329">
        <v>0</v>
      </c>
    </row>
    <row r="15" spans="1:11" ht="12.75">
      <c r="A15" s="8">
        <v>4</v>
      </c>
      <c r="B15" s="328" t="s">
        <v>873</v>
      </c>
      <c r="C15" s="329">
        <v>3482</v>
      </c>
      <c r="D15" s="384">
        <v>174.1</v>
      </c>
      <c r="E15" s="329">
        <v>3482</v>
      </c>
      <c r="F15" s="384">
        <v>174.1</v>
      </c>
      <c r="G15" s="329">
        <v>0</v>
      </c>
      <c r="H15" s="329">
        <v>0</v>
      </c>
      <c r="I15" s="329">
        <v>0</v>
      </c>
      <c r="J15" s="329">
        <v>0</v>
      </c>
      <c r="K15" s="329">
        <v>0</v>
      </c>
    </row>
    <row r="16" spans="1:11" ht="12.75">
      <c r="A16" s="8">
        <v>5</v>
      </c>
      <c r="B16" s="328" t="s">
        <v>874</v>
      </c>
      <c r="C16" s="329">
        <v>5175</v>
      </c>
      <c r="D16" s="384">
        <v>258.75</v>
      </c>
      <c r="E16" s="329">
        <v>5175</v>
      </c>
      <c r="F16" s="384">
        <v>258.75</v>
      </c>
      <c r="G16" s="329">
        <v>0</v>
      </c>
      <c r="H16" s="329">
        <v>0</v>
      </c>
      <c r="I16" s="329">
        <v>0</v>
      </c>
      <c r="J16" s="329">
        <v>0</v>
      </c>
      <c r="K16" s="329">
        <v>0</v>
      </c>
    </row>
    <row r="17" spans="1:11" ht="12.75">
      <c r="A17" s="8">
        <v>6</v>
      </c>
      <c r="B17" s="328" t="s">
        <v>875</v>
      </c>
      <c r="C17" s="329">
        <v>2537</v>
      </c>
      <c r="D17" s="384">
        <v>126.85</v>
      </c>
      <c r="E17" s="329">
        <v>2537</v>
      </c>
      <c r="F17" s="384">
        <v>126.85</v>
      </c>
      <c r="G17" s="329">
        <v>0</v>
      </c>
      <c r="H17" s="329">
        <v>0</v>
      </c>
      <c r="I17" s="329">
        <v>0</v>
      </c>
      <c r="J17" s="329">
        <v>0</v>
      </c>
      <c r="K17" s="329">
        <v>0</v>
      </c>
    </row>
    <row r="18" spans="1:11" ht="12.75">
      <c r="A18" s="8">
        <v>7</v>
      </c>
      <c r="B18" s="328" t="s">
        <v>876</v>
      </c>
      <c r="C18" s="379">
        <v>3863</v>
      </c>
      <c r="D18" s="385">
        <v>193.15</v>
      </c>
      <c r="E18" s="379">
        <v>3863</v>
      </c>
      <c r="F18" s="385">
        <v>193.15</v>
      </c>
      <c r="G18" s="329">
        <v>0</v>
      </c>
      <c r="H18" s="329">
        <v>0</v>
      </c>
      <c r="I18" s="329">
        <v>0</v>
      </c>
      <c r="J18" s="329">
        <v>0</v>
      </c>
      <c r="K18" s="329">
        <v>0</v>
      </c>
    </row>
    <row r="19" spans="1:11" ht="12.75">
      <c r="A19" s="8">
        <v>8</v>
      </c>
      <c r="B19" s="328" t="s">
        <v>877</v>
      </c>
      <c r="C19" s="9">
        <v>4409</v>
      </c>
      <c r="D19" s="324">
        <v>220.45</v>
      </c>
      <c r="E19" s="9">
        <v>4409</v>
      </c>
      <c r="F19" s="324">
        <v>220.45</v>
      </c>
      <c r="G19" s="329">
        <v>0</v>
      </c>
      <c r="H19" s="329">
        <v>0</v>
      </c>
      <c r="I19" s="329">
        <v>0</v>
      </c>
      <c r="J19" s="329">
        <v>0</v>
      </c>
      <c r="K19" s="329">
        <v>0</v>
      </c>
    </row>
    <row r="20" spans="1:11" ht="12.75">
      <c r="A20" s="8">
        <v>9</v>
      </c>
      <c r="B20" s="328" t="s">
        <v>878</v>
      </c>
      <c r="C20" s="9">
        <v>2950</v>
      </c>
      <c r="D20" s="324">
        <v>147.5</v>
      </c>
      <c r="E20" s="9">
        <v>2950</v>
      </c>
      <c r="F20" s="324">
        <v>147.5</v>
      </c>
      <c r="G20" s="329">
        <v>0</v>
      </c>
      <c r="H20" s="329">
        <v>0</v>
      </c>
      <c r="I20" s="329">
        <v>0</v>
      </c>
      <c r="J20" s="329">
        <v>0</v>
      </c>
      <c r="K20" s="329">
        <v>0</v>
      </c>
    </row>
    <row r="21" spans="1:11" ht="12.75">
      <c r="A21" s="8">
        <v>10</v>
      </c>
      <c r="B21" s="328" t="s">
        <v>879</v>
      </c>
      <c r="C21" s="9">
        <v>3611</v>
      </c>
      <c r="D21" s="324">
        <v>180.55</v>
      </c>
      <c r="E21" s="9">
        <v>3611</v>
      </c>
      <c r="F21" s="324">
        <v>180.55</v>
      </c>
      <c r="G21" s="329">
        <v>0</v>
      </c>
      <c r="H21" s="329">
        <v>0</v>
      </c>
      <c r="I21" s="329">
        <v>0</v>
      </c>
      <c r="J21" s="329">
        <v>0</v>
      </c>
      <c r="K21" s="329">
        <v>0</v>
      </c>
    </row>
    <row r="22" spans="1:11" ht="12.75">
      <c r="A22" s="8">
        <v>11</v>
      </c>
      <c r="B22" s="328" t="s">
        <v>880</v>
      </c>
      <c r="C22" s="9">
        <v>2586</v>
      </c>
      <c r="D22" s="324">
        <v>129.3</v>
      </c>
      <c r="E22" s="9">
        <v>2586</v>
      </c>
      <c r="F22" s="324">
        <v>129.3</v>
      </c>
      <c r="G22" s="329">
        <v>0</v>
      </c>
      <c r="H22" s="329">
        <v>0</v>
      </c>
      <c r="I22" s="329">
        <v>0</v>
      </c>
      <c r="J22" s="329">
        <v>0</v>
      </c>
      <c r="K22" s="329">
        <v>0</v>
      </c>
    </row>
    <row r="23" spans="1:11" ht="12.75">
      <c r="A23" s="8">
        <v>12</v>
      </c>
      <c r="B23" s="328" t="s">
        <v>881</v>
      </c>
      <c r="C23" s="9">
        <v>2181</v>
      </c>
      <c r="D23" s="324">
        <v>109.05</v>
      </c>
      <c r="E23" s="9">
        <v>2181</v>
      </c>
      <c r="F23" s="324">
        <v>109.05</v>
      </c>
      <c r="G23" s="329">
        <v>0</v>
      </c>
      <c r="H23" s="329">
        <v>0</v>
      </c>
      <c r="I23" s="329">
        <v>0</v>
      </c>
      <c r="J23" s="329">
        <v>0</v>
      </c>
      <c r="K23" s="329">
        <v>0</v>
      </c>
    </row>
    <row r="24" spans="1:11" ht="12.75">
      <c r="A24" s="8">
        <v>13</v>
      </c>
      <c r="B24" s="328" t="s">
        <v>882</v>
      </c>
      <c r="C24" s="9">
        <v>3969</v>
      </c>
      <c r="D24" s="324">
        <v>198.45</v>
      </c>
      <c r="E24" s="9">
        <v>3969</v>
      </c>
      <c r="F24" s="324">
        <v>198.45</v>
      </c>
      <c r="G24" s="329">
        <v>0</v>
      </c>
      <c r="H24" s="329">
        <v>0</v>
      </c>
      <c r="I24" s="329">
        <v>0</v>
      </c>
      <c r="J24" s="329">
        <v>0</v>
      </c>
      <c r="K24" s="329">
        <v>0</v>
      </c>
    </row>
    <row r="25" spans="1:11" ht="12.75">
      <c r="A25" s="8">
        <v>14</v>
      </c>
      <c r="B25" s="328" t="s">
        <v>883</v>
      </c>
      <c r="C25" s="9">
        <v>3258</v>
      </c>
      <c r="D25" s="324">
        <v>162.9</v>
      </c>
      <c r="E25" s="9">
        <v>3258</v>
      </c>
      <c r="F25" s="324">
        <v>162.9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</row>
    <row r="26" spans="1:11" ht="12.75">
      <c r="A26" s="8">
        <v>15</v>
      </c>
      <c r="B26" s="328" t="s">
        <v>884</v>
      </c>
      <c r="C26" s="9">
        <v>4381</v>
      </c>
      <c r="D26" s="324">
        <v>219.05</v>
      </c>
      <c r="E26" s="9">
        <v>4381</v>
      </c>
      <c r="F26" s="324">
        <v>219.05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</row>
    <row r="27" spans="1:11" ht="12.75">
      <c r="A27" s="8">
        <v>16</v>
      </c>
      <c r="B27" s="328" t="s">
        <v>885</v>
      </c>
      <c r="C27" s="9">
        <v>3790</v>
      </c>
      <c r="D27" s="324">
        <v>189.5</v>
      </c>
      <c r="E27" s="9">
        <v>3790</v>
      </c>
      <c r="F27" s="324">
        <v>189.5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</row>
    <row r="28" spans="1:11" ht="12.75">
      <c r="A28" s="8">
        <v>17</v>
      </c>
      <c r="B28" s="328" t="s">
        <v>886</v>
      </c>
      <c r="C28" s="9">
        <v>0</v>
      </c>
      <c r="D28" s="324">
        <v>0</v>
      </c>
      <c r="E28" s="9">
        <v>0</v>
      </c>
      <c r="F28" s="324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</row>
    <row r="29" spans="1:11" ht="12.75">
      <c r="A29" s="8">
        <v>18</v>
      </c>
      <c r="B29" s="328" t="s">
        <v>887</v>
      </c>
      <c r="C29" s="9">
        <v>5216</v>
      </c>
      <c r="D29" s="324">
        <v>260.8</v>
      </c>
      <c r="E29" s="9">
        <v>5216</v>
      </c>
      <c r="F29" s="324">
        <v>260.8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</row>
    <row r="30" spans="1:11" ht="12.75">
      <c r="A30" s="8">
        <v>19</v>
      </c>
      <c r="B30" s="328" t="s">
        <v>888</v>
      </c>
      <c r="C30" s="9">
        <v>4841</v>
      </c>
      <c r="D30" s="324">
        <v>242.05</v>
      </c>
      <c r="E30" s="9">
        <v>4841</v>
      </c>
      <c r="F30" s="324">
        <v>242.05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</row>
    <row r="31" spans="1:11" ht="12.75">
      <c r="A31" s="8">
        <v>20</v>
      </c>
      <c r="B31" s="328" t="s">
        <v>889</v>
      </c>
      <c r="C31" s="9">
        <v>2991</v>
      </c>
      <c r="D31" s="324">
        <v>149.55</v>
      </c>
      <c r="E31" s="9">
        <v>2991</v>
      </c>
      <c r="F31" s="324">
        <v>149.55</v>
      </c>
      <c r="G31" s="329">
        <v>0</v>
      </c>
      <c r="H31" s="329">
        <v>0</v>
      </c>
      <c r="I31" s="329">
        <v>0</v>
      </c>
      <c r="J31" s="329">
        <v>0</v>
      </c>
      <c r="K31" s="329">
        <v>0</v>
      </c>
    </row>
    <row r="32" spans="1:11" ht="12.75">
      <c r="A32" s="8">
        <v>21</v>
      </c>
      <c r="B32" s="328" t="s">
        <v>890</v>
      </c>
      <c r="C32" s="9">
        <v>6498</v>
      </c>
      <c r="D32" s="324">
        <v>324.9</v>
      </c>
      <c r="E32" s="9">
        <v>6498</v>
      </c>
      <c r="F32" s="324">
        <v>324.9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</row>
    <row r="33" spans="1:11" ht="12.75">
      <c r="A33" s="8">
        <v>22</v>
      </c>
      <c r="B33" s="328" t="s">
        <v>891</v>
      </c>
      <c r="C33" s="9">
        <v>3058</v>
      </c>
      <c r="D33" s="324">
        <v>152.9</v>
      </c>
      <c r="E33" s="9">
        <v>3058</v>
      </c>
      <c r="F33" s="324">
        <v>152.9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</row>
    <row r="34" spans="1:11" ht="12.75">
      <c r="A34" s="8">
        <v>23</v>
      </c>
      <c r="B34" s="328" t="s">
        <v>892</v>
      </c>
      <c r="C34" s="9">
        <v>3155</v>
      </c>
      <c r="D34" s="324">
        <v>157.75</v>
      </c>
      <c r="E34" s="9">
        <v>3155</v>
      </c>
      <c r="F34" s="324">
        <v>157.75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</row>
    <row r="35" spans="1:11" ht="12.75">
      <c r="A35" s="8">
        <v>24</v>
      </c>
      <c r="B35" s="328" t="s">
        <v>893</v>
      </c>
      <c r="C35" s="9">
        <v>7800</v>
      </c>
      <c r="D35" s="324">
        <v>390</v>
      </c>
      <c r="E35" s="9">
        <v>7800</v>
      </c>
      <c r="F35" s="324">
        <v>390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</row>
    <row r="36" spans="1:11" ht="12.75">
      <c r="A36" s="8">
        <v>25</v>
      </c>
      <c r="B36" s="328" t="s">
        <v>894</v>
      </c>
      <c r="C36" s="9">
        <v>5509</v>
      </c>
      <c r="D36" s="324">
        <v>275.45</v>
      </c>
      <c r="E36" s="9">
        <v>5509</v>
      </c>
      <c r="F36" s="324">
        <v>275.45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</row>
    <row r="37" spans="1:11" ht="12.75">
      <c r="A37" s="8">
        <v>26</v>
      </c>
      <c r="B37" s="328" t="s">
        <v>895</v>
      </c>
      <c r="C37" s="9">
        <v>4945</v>
      </c>
      <c r="D37" s="324">
        <v>247.25</v>
      </c>
      <c r="E37" s="9">
        <v>4945</v>
      </c>
      <c r="F37" s="324">
        <v>247.25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</row>
    <row r="38" spans="1:11" ht="12.75">
      <c r="A38" s="8">
        <v>27</v>
      </c>
      <c r="B38" s="328" t="s">
        <v>896</v>
      </c>
      <c r="C38" s="9">
        <v>3824</v>
      </c>
      <c r="D38" s="324">
        <v>191.2</v>
      </c>
      <c r="E38" s="9">
        <v>3824</v>
      </c>
      <c r="F38" s="324">
        <v>191.2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</row>
    <row r="39" spans="1:11" ht="12.75">
      <c r="A39" s="8">
        <v>28</v>
      </c>
      <c r="B39" s="328" t="s">
        <v>897</v>
      </c>
      <c r="C39" s="9">
        <v>5054</v>
      </c>
      <c r="D39" s="324">
        <v>252.7</v>
      </c>
      <c r="E39" s="9">
        <v>5054</v>
      </c>
      <c r="F39" s="324">
        <v>252.7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</row>
    <row r="40" spans="1:11" ht="12.75">
      <c r="A40" s="8">
        <v>29</v>
      </c>
      <c r="B40" s="328" t="s">
        <v>898</v>
      </c>
      <c r="C40" s="9">
        <v>2964</v>
      </c>
      <c r="D40" s="324">
        <v>148.2</v>
      </c>
      <c r="E40" s="9">
        <v>2964</v>
      </c>
      <c r="F40" s="324">
        <v>148.2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</row>
    <row r="41" spans="1:11" ht="12.75">
      <c r="A41" s="8">
        <v>30</v>
      </c>
      <c r="B41" s="328" t="s">
        <v>899</v>
      </c>
      <c r="C41" s="9">
        <v>5790</v>
      </c>
      <c r="D41" s="324">
        <v>289.5</v>
      </c>
      <c r="E41" s="9">
        <v>5790</v>
      </c>
      <c r="F41" s="324">
        <v>289.5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</row>
    <row r="42" spans="1:11" ht="12.75">
      <c r="A42" s="8">
        <v>31</v>
      </c>
      <c r="B42" s="328" t="s">
        <v>900</v>
      </c>
      <c r="C42" s="9">
        <v>6625</v>
      </c>
      <c r="D42" s="324">
        <v>331.25</v>
      </c>
      <c r="E42" s="9">
        <v>6625</v>
      </c>
      <c r="F42" s="324">
        <v>331.25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</row>
    <row r="43" spans="1:11" ht="12.75">
      <c r="A43" s="8">
        <v>32</v>
      </c>
      <c r="B43" s="328" t="s">
        <v>901</v>
      </c>
      <c r="C43" s="9">
        <v>0</v>
      </c>
      <c r="D43" s="324">
        <v>0</v>
      </c>
      <c r="E43" s="9">
        <v>0</v>
      </c>
      <c r="F43" s="324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</row>
    <row r="44" spans="1:11" ht="12.75">
      <c r="A44" s="8">
        <v>33</v>
      </c>
      <c r="B44" s="328" t="s">
        <v>902</v>
      </c>
      <c r="C44" s="9">
        <v>2889</v>
      </c>
      <c r="D44" s="324">
        <v>144.45</v>
      </c>
      <c r="E44" s="9">
        <v>2889</v>
      </c>
      <c r="F44" s="324">
        <v>144.45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</row>
    <row r="45" spans="1:11" ht="12.75">
      <c r="A45" s="8">
        <v>34</v>
      </c>
      <c r="B45" s="328" t="s">
        <v>903</v>
      </c>
      <c r="C45" s="9">
        <v>2528</v>
      </c>
      <c r="D45" s="324">
        <v>126.4</v>
      </c>
      <c r="E45" s="9">
        <v>2528</v>
      </c>
      <c r="F45" s="324">
        <v>126.4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</row>
    <row r="46" spans="1:11" ht="12.75">
      <c r="A46" s="8">
        <v>35</v>
      </c>
      <c r="B46" s="328" t="s">
        <v>904</v>
      </c>
      <c r="C46" s="9">
        <v>5697</v>
      </c>
      <c r="D46" s="324">
        <v>284.85</v>
      </c>
      <c r="E46" s="9">
        <v>5697</v>
      </c>
      <c r="F46" s="324">
        <v>284.85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</row>
    <row r="47" spans="1:11" s="13" customFormat="1" ht="12.75">
      <c r="A47" s="3" t="s">
        <v>19</v>
      </c>
      <c r="B47" s="9"/>
      <c r="C47" s="9">
        <f>SUM(C12:C46)</f>
        <v>140316</v>
      </c>
      <c r="D47" s="324">
        <f>SUM(D12:D46)</f>
        <v>7015.8</v>
      </c>
      <c r="E47" s="9">
        <f>SUM(E12:E46)</f>
        <v>140316</v>
      </c>
      <c r="F47" s="324">
        <f>SUM(F12:F46)</f>
        <v>7015.8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="13" customFormat="1" ht="12.75"/>
    <row r="49" s="13" customFormat="1" ht="12.75">
      <c r="A49" s="11" t="s">
        <v>41</v>
      </c>
    </row>
    <row r="50" spans="3:6" ht="15.75" customHeight="1">
      <c r="C50" s="812"/>
      <c r="D50" s="812"/>
      <c r="E50" s="812"/>
      <c r="F50" s="812"/>
    </row>
    <row r="51" spans="2:16" s="16" customFormat="1" ht="13.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16" s="16" customFormat="1" ht="12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</row>
    <row r="53" spans="1:16" s="16" customFormat="1" ht="12.75" customHeight="1">
      <c r="A53" s="83"/>
      <c r="B53" s="83"/>
      <c r="C53" s="748" t="s">
        <v>1021</v>
      </c>
      <c r="D53" s="748"/>
      <c r="E53" s="748"/>
      <c r="F53" s="83"/>
      <c r="I53" s="748" t="s">
        <v>1024</v>
      </c>
      <c r="J53" s="748"/>
      <c r="K53" s="748"/>
      <c r="L53" s="83"/>
      <c r="M53" s="83"/>
      <c r="N53" s="83"/>
      <c r="O53" s="83"/>
      <c r="P53" s="83"/>
    </row>
    <row r="54" spans="1:11" s="16" customFormat="1" ht="12.75" customHeight="1">
      <c r="A54" s="15" t="s">
        <v>22</v>
      </c>
      <c r="B54" s="15"/>
      <c r="C54" s="748" t="s">
        <v>1022</v>
      </c>
      <c r="D54" s="748"/>
      <c r="E54" s="748"/>
      <c r="F54" s="83"/>
      <c r="I54" s="748" t="s">
        <v>1025</v>
      </c>
      <c r="J54" s="748"/>
      <c r="K54" s="748"/>
    </row>
    <row r="55" spans="1:11" s="16" customFormat="1" ht="12.75">
      <c r="A55" s="15"/>
      <c r="C55" s="735" t="s">
        <v>1023</v>
      </c>
      <c r="D55" s="735"/>
      <c r="E55" s="735"/>
      <c r="F55" s="36"/>
      <c r="I55" s="735" t="s">
        <v>1023</v>
      </c>
      <c r="J55" s="735"/>
      <c r="K55" s="735"/>
    </row>
    <row r="56" spans="1:10" ht="12.75">
      <c r="A56" s="605"/>
      <c r="B56" s="605"/>
      <c r="C56" s="605"/>
      <c r="D56" s="605"/>
      <c r="E56" s="605"/>
      <c r="F56" s="605"/>
      <c r="G56" s="605"/>
      <c r="H56" s="605"/>
      <c r="I56" s="605"/>
      <c r="J56" s="605"/>
    </row>
  </sheetData>
  <sheetProtection/>
  <mergeCells count="21">
    <mergeCell ref="J1:K1"/>
    <mergeCell ref="I9:J9"/>
    <mergeCell ref="D1:E1"/>
    <mergeCell ref="A2:J2"/>
    <mergeCell ref="A3:J3"/>
    <mergeCell ref="G9:H9"/>
    <mergeCell ref="I55:K55"/>
    <mergeCell ref="C53:E53"/>
    <mergeCell ref="C54:E54"/>
    <mergeCell ref="C55:E55"/>
    <mergeCell ref="B9:B10"/>
    <mergeCell ref="A5:K5"/>
    <mergeCell ref="C50:F50"/>
    <mergeCell ref="C8:J8"/>
    <mergeCell ref="E9:F9"/>
    <mergeCell ref="I53:K53"/>
    <mergeCell ref="C9:D9"/>
    <mergeCell ref="I7:K7"/>
    <mergeCell ref="K9:K10"/>
    <mergeCell ref="A9:A10"/>
    <mergeCell ref="I54:K54"/>
  </mergeCells>
  <printOptions horizontalCentered="1"/>
  <pageMargins left="0.7086614173228347" right="0.7086614173228347" top="0.2362204724409449" bottom="0" header="0.31496062992125984" footer="0.2"/>
  <pageSetup fitToHeight="1" fitToWidth="1"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view="pageBreakPreview" zoomScale="90" zoomScaleSheetLayoutView="90" zoomScalePageLayoutView="0" workbookViewId="0" topLeftCell="A31">
      <selection activeCell="C52" sqref="C52:N54"/>
    </sheetView>
  </sheetViews>
  <sheetFormatPr defaultColWidth="9.140625" defaultRowHeight="12.75"/>
  <cols>
    <col min="2" max="2" width="19.00390625" style="0" customWidth="1"/>
    <col min="3" max="3" width="16.28125" style="0" customWidth="1"/>
    <col min="4" max="4" width="15.8515625" style="0" customWidth="1"/>
    <col min="5" max="5" width="9.28125" style="0" customWidth="1"/>
    <col min="6" max="6" width="13.57421875" style="0" customWidth="1"/>
    <col min="7" max="7" width="9.7109375" style="0" customWidth="1"/>
    <col min="8" max="8" width="10.421875" style="0" customWidth="1"/>
    <col min="9" max="9" width="15.28125" style="0" customWidth="1"/>
    <col min="10" max="10" width="19.28125" style="0" customWidth="1"/>
    <col min="11" max="11" width="15.00390625" style="0" customWidth="1"/>
    <col min="12" max="16" width="0" style="0" hidden="1" customWidth="1"/>
  </cols>
  <sheetData>
    <row r="1" spans="4:11" ht="22.5" customHeight="1">
      <c r="D1" s="735"/>
      <c r="E1" s="735"/>
      <c r="H1" s="43"/>
      <c r="J1" s="810" t="s">
        <v>494</v>
      </c>
      <c r="K1" s="810"/>
    </row>
    <row r="2" spans="1:10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1:10" ht="18">
      <c r="A3" s="843" t="s">
        <v>656</v>
      </c>
      <c r="B3" s="843"/>
      <c r="C3" s="843"/>
      <c r="D3" s="843"/>
      <c r="E3" s="843"/>
      <c r="F3" s="843"/>
      <c r="G3" s="843"/>
      <c r="H3" s="843"/>
      <c r="I3" s="843"/>
      <c r="J3" s="843"/>
    </row>
    <row r="4" ht="10.5" customHeight="1"/>
    <row r="5" spans="1:12" s="16" customFormat="1" ht="15.75" customHeight="1">
      <c r="A5" s="943" t="s">
        <v>504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508"/>
    </row>
    <row r="6" spans="1:10" s="16" customFormat="1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6" customFormat="1" ht="12.75">
      <c r="A7" s="208" t="s">
        <v>1020</v>
      </c>
      <c r="B7" s="208"/>
      <c r="C7" s="209"/>
      <c r="I7" s="898" t="s">
        <v>824</v>
      </c>
      <c r="J7" s="898"/>
      <c r="K7" s="898"/>
    </row>
    <row r="8" spans="3:10" s="14" customFormat="1" ht="15.75" hidden="1">
      <c r="C8" s="811" t="s">
        <v>16</v>
      </c>
      <c r="D8" s="811"/>
      <c r="E8" s="811"/>
      <c r="F8" s="811"/>
      <c r="G8" s="811"/>
      <c r="H8" s="811"/>
      <c r="I8" s="811"/>
      <c r="J8" s="811"/>
    </row>
    <row r="9" spans="1:17" ht="31.5" customHeight="1">
      <c r="A9" s="808" t="s">
        <v>24</v>
      </c>
      <c r="B9" s="808" t="s">
        <v>37</v>
      </c>
      <c r="C9" s="696" t="s">
        <v>761</v>
      </c>
      <c r="D9" s="698"/>
      <c r="E9" s="696" t="s">
        <v>493</v>
      </c>
      <c r="F9" s="698"/>
      <c r="G9" s="696" t="s">
        <v>39</v>
      </c>
      <c r="H9" s="698"/>
      <c r="I9" s="709" t="s">
        <v>105</v>
      </c>
      <c r="J9" s="709"/>
      <c r="K9" s="808" t="s">
        <v>531</v>
      </c>
      <c r="P9" s="9"/>
      <c r="Q9" s="13"/>
    </row>
    <row r="10" spans="1:11" s="15" customFormat="1" ht="46.5" customHeight="1">
      <c r="A10" s="809"/>
      <c r="B10" s="809"/>
      <c r="C10" s="5" t="s">
        <v>40</v>
      </c>
      <c r="D10" s="5" t="s">
        <v>104</v>
      </c>
      <c r="E10" s="5" t="s">
        <v>40</v>
      </c>
      <c r="F10" s="5" t="s">
        <v>104</v>
      </c>
      <c r="G10" s="5" t="s">
        <v>40</v>
      </c>
      <c r="H10" s="5" t="s">
        <v>104</v>
      </c>
      <c r="I10" s="5" t="s">
        <v>137</v>
      </c>
      <c r="J10" s="5" t="s">
        <v>990</v>
      </c>
      <c r="K10" s="809"/>
    </row>
    <row r="11" spans="1:11" ht="12.75">
      <c r="A11" s="280">
        <v>1</v>
      </c>
      <c r="B11" s="280">
        <v>2</v>
      </c>
      <c r="C11" s="280">
        <v>3</v>
      </c>
      <c r="D11" s="280">
        <v>4</v>
      </c>
      <c r="E11" s="280">
        <v>5</v>
      </c>
      <c r="F11" s="280">
        <v>6</v>
      </c>
      <c r="G11" s="280">
        <v>7</v>
      </c>
      <c r="H11" s="280">
        <v>8</v>
      </c>
      <c r="I11" s="280">
        <v>9</v>
      </c>
      <c r="J11" s="280">
        <v>10</v>
      </c>
      <c r="K11" s="280">
        <v>11</v>
      </c>
    </row>
    <row r="12" spans="1:15" ht="12.75">
      <c r="A12" s="8">
        <v>1</v>
      </c>
      <c r="B12" s="328" t="s">
        <v>870</v>
      </c>
      <c r="C12" s="395">
        <v>6824</v>
      </c>
      <c r="D12" s="384">
        <f>F12+H12</f>
        <v>341.2</v>
      </c>
      <c r="E12" s="9">
        <v>6789</v>
      </c>
      <c r="F12" s="384">
        <v>339.45</v>
      </c>
      <c r="G12" s="9">
        <v>35</v>
      </c>
      <c r="H12" s="384">
        <v>1.75</v>
      </c>
      <c r="I12" s="329">
        <v>0</v>
      </c>
      <c r="J12" s="329">
        <v>0</v>
      </c>
      <c r="K12" s="329">
        <v>0</v>
      </c>
      <c r="L12">
        <v>35</v>
      </c>
      <c r="M12">
        <v>6789</v>
      </c>
      <c r="N12">
        <f>L12+M12</f>
        <v>6824</v>
      </c>
      <c r="O12">
        <v>339.45</v>
      </c>
    </row>
    <row r="13" spans="1:14" ht="12.75">
      <c r="A13" s="8">
        <v>2</v>
      </c>
      <c r="B13" s="328" t="s">
        <v>871</v>
      </c>
      <c r="C13" s="395">
        <v>1545</v>
      </c>
      <c r="D13" s="384">
        <f aca="true" t="shared" si="0" ref="D13:D46">F13+H13</f>
        <v>77.25</v>
      </c>
      <c r="E13" s="394">
        <v>1512</v>
      </c>
      <c r="F13" s="384">
        <v>75.6</v>
      </c>
      <c r="G13" s="9">
        <v>33</v>
      </c>
      <c r="H13" s="384">
        <v>1.65</v>
      </c>
      <c r="I13" s="329">
        <v>0</v>
      </c>
      <c r="J13" s="329">
        <v>0</v>
      </c>
      <c r="K13" s="329">
        <v>0</v>
      </c>
      <c r="L13">
        <v>33</v>
      </c>
      <c r="M13" s="383">
        <v>1512</v>
      </c>
      <c r="N13">
        <f aca="true" t="shared" si="1" ref="N13:N46">L13+M13</f>
        <v>1545</v>
      </c>
    </row>
    <row r="14" spans="1:14" ht="12.75">
      <c r="A14" s="8">
        <v>3</v>
      </c>
      <c r="B14" s="328" t="s">
        <v>872</v>
      </c>
      <c r="C14" s="395">
        <v>3119</v>
      </c>
      <c r="D14" s="384">
        <f t="shared" si="0"/>
        <v>155.95</v>
      </c>
      <c r="E14" s="394">
        <v>3087</v>
      </c>
      <c r="F14" s="384">
        <v>154.35</v>
      </c>
      <c r="G14" s="394">
        <v>32</v>
      </c>
      <c r="H14" s="384">
        <v>1.6</v>
      </c>
      <c r="I14" s="329">
        <v>0</v>
      </c>
      <c r="J14" s="329">
        <v>0</v>
      </c>
      <c r="K14" s="329">
        <v>0</v>
      </c>
      <c r="L14" s="382">
        <v>32</v>
      </c>
      <c r="M14" s="382">
        <v>3087</v>
      </c>
      <c r="N14">
        <f t="shared" si="1"/>
        <v>3119</v>
      </c>
    </row>
    <row r="15" spans="1:14" ht="12.75">
      <c r="A15" s="8">
        <v>4</v>
      </c>
      <c r="B15" s="328" t="s">
        <v>873</v>
      </c>
      <c r="C15" s="395">
        <v>5827</v>
      </c>
      <c r="D15" s="384">
        <f t="shared" si="0"/>
        <v>291.5</v>
      </c>
      <c r="E15" s="394">
        <v>5785</v>
      </c>
      <c r="F15" s="384">
        <v>289.25</v>
      </c>
      <c r="G15" s="394">
        <v>42</v>
      </c>
      <c r="H15" s="384">
        <v>2.25</v>
      </c>
      <c r="I15" s="329">
        <v>0</v>
      </c>
      <c r="J15" s="329">
        <v>0</v>
      </c>
      <c r="K15" s="329">
        <v>0</v>
      </c>
      <c r="L15" s="382">
        <v>42</v>
      </c>
      <c r="M15" s="382">
        <v>5785</v>
      </c>
      <c r="N15">
        <f t="shared" si="1"/>
        <v>5827</v>
      </c>
    </row>
    <row r="16" spans="1:14" ht="12.75">
      <c r="A16" s="8">
        <v>5</v>
      </c>
      <c r="B16" s="328" t="s">
        <v>874</v>
      </c>
      <c r="C16" s="395">
        <v>3496</v>
      </c>
      <c r="D16" s="384">
        <f t="shared" si="0"/>
        <v>175.05</v>
      </c>
      <c r="E16" s="394">
        <v>3470</v>
      </c>
      <c r="F16" s="384">
        <v>173.5</v>
      </c>
      <c r="G16" s="9">
        <v>26</v>
      </c>
      <c r="H16" s="384">
        <v>1.55</v>
      </c>
      <c r="I16" s="329">
        <v>0</v>
      </c>
      <c r="J16" s="329">
        <v>0</v>
      </c>
      <c r="K16" s="329">
        <v>0</v>
      </c>
      <c r="L16">
        <v>26</v>
      </c>
      <c r="M16" s="389">
        <v>3470</v>
      </c>
      <c r="N16">
        <f t="shared" si="1"/>
        <v>3496</v>
      </c>
    </row>
    <row r="17" spans="1:14" ht="12.75">
      <c r="A17" s="8">
        <v>6</v>
      </c>
      <c r="B17" s="328" t="s">
        <v>875</v>
      </c>
      <c r="C17" s="395">
        <v>922</v>
      </c>
      <c r="D17" s="384">
        <f t="shared" si="0"/>
        <v>46.35</v>
      </c>
      <c r="E17" s="394">
        <v>880</v>
      </c>
      <c r="F17" s="384">
        <v>44</v>
      </c>
      <c r="G17" s="9">
        <v>42</v>
      </c>
      <c r="H17" s="384">
        <v>2.35</v>
      </c>
      <c r="I17" s="329">
        <v>0</v>
      </c>
      <c r="J17" s="329">
        <v>0</v>
      </c>
      <c r="K17" s="329">
        <v>0</v>
      </c>
      <c r="L17">
        <v>42</v>
      </c>
      <c r="M17" s="389">
        <v>880</v>
      </c>
      <c r="N17">
        <f t="shared" si="1"/>
        <v>922</v>
      </c>
    </row>
    <row r="18" spans="1:14" ht="12.75">
      <c r="A18" s="8">
        <v>7</v>
      </c>
      <c r="B18" s="328" t="s">
        <v>876</v>
      </c>
      <c r="C18" s="395">
        <v>2717</v>
      </c>
      <c r="D18" s="384">
        <f t="shared" si="0"/>
        <v>190.85000000000002</v>
      </c>
      <c r="E18" s="394">
        <v>2686</v>
      </c>
      <c r="F18" s="384">
        <v>189.3</v>
      </c>
      <c r="G18" s="394">
        <v>31</v>
      </c>
      <c r="H18" s="384">
        <v>1.55</v>
      </c>
      <c r="I18" s="329">
        <v>0</v>
      </c>
      <c r="J18" s="329">
        <v>0</v>
      </c>
      <c r="K18" s="329">
        <v>0</v>
      </c>
      <c r="L18" s="382">
        <v>31</v>
      </c>
      <c r="M18" s="389">
        <v>2686</v>
      </c>
      <c r="N18">
        <f t="shared" si="1"/>
        <v>2717</v>
      </c>
    </row>
    <row r="19" spans="1:14" ht="12.75">
      <c r="A19" s="8">
        <v>8</v>
      </c>
      <c r="B19" s="328" t="s">
        <v>877</v>
      </c>
      <c r="C19" s="396">
        <v>2147</v>
      </c>
      <c r="D19" s="384">
        <f t="shared" si="0"/>
        <v>107.8</v>
      </c>
      <c r="E19" s="394">
        <v>2109</v>
      </c>
      <c r="F19" s="324">
        <v>105.45</v>
      </c>
      <c r="G19" s="394">
        <v>38</v>
      </c>
      <c r="H19" s="384">
        <v>2.35</v>
      </c>
      <c r="I19" s="329">
        <v>0</v>
      </c>
      <c r="J19" s="329">
        <v>0</v>
      </c>
      <c r="K19" s="329">
        <v>0</v>
      </c>
      <c r="L19" s="383">
        <v>38</v>
      </c>
      <c r="M19" s="389">
        <v>2109</v>
      </c>
      <c r="N19">
        <f t="shared" si="1"/>
        <v>2147</v>
      </c>
    </row>
    <row r="20" spans="1:14" ht="12.75">
      <c r="A20" s="8">
        <v>9</v>
      </c>
      <c r="B20" s="328" t="s">
        <v>878</v>
      </c>
      <c r="C20" s="396">
        <v>1982</v>
      </c>
      <c r="D20" s="384">
        <f t="shared" si="0"/>
        <v>99.1</v>
      </c>
      <c r="E20" s="394">
        <v>1950</v>
      </c>
      <c r="F20" s="324">
        <v>97.5</v>
      </c>
      <c r="G20" s="394">
        <v>32</v>
      </c>
      <c r="H20" s="384">
        <v>1.6</v>
      </c>
      <c r="I20" s="329">
        <v>0</v>
      </c>
      <c r="J20" s="329">
        <v>0</v>
      </c>
      <c r="K20" s="329">
        <v>0</v>
      </c>
      <c r="L20" s="383">
        <v>32</v>
      </c>
      <c r="M20" s="389">
        <v>1950</v>
      </c>
      <c r="N20">
        <f t="shared" si="1"/>
        <v>1982</v>
      </c>
    </row>
    <row r="21" spans="1:14" ht="12.75">
      <c r="A21" s="8">
        <v>10</v>
      </c>
      <c r="B21" s="328" t="s">
        <v>879</v>
      </c>
      <c r="C21" s="396">
        <v>1309</v>
      </c>
      <c r="D21" s="384">
        <f t="shared" si="0"/>
        <v>65.9</v>
      </c>
      <c r="E21" s="394">
        <v>1267</v>
      </c>
      <c r="F21" s="324">
        <v>63.35</v>
      </c>
      <c r="G21" s="394">
        <v>42</v>
      </c>
      <c r="H21" s="384">
        <v>2.55</v>
      </c>
      <c r="I21" s="329">
        <v>0</v>
      </c>
      <c r="J21" s="329">
        <v>0</v>
      </c>
      <c r="K21" s="329">
        <v>0</v>
      </c>
      <c r="L21" s="383">
        <v>42</v>
      </c>
      <c r="M21" s="389">
        <v>1267</v>
      </c>
      <c r="N21">
        <f t="shared" si="1"/>
        <v>1309</v>
      </c>
    </row>
    <row r="22" spans="1:14" ht="12.75">
      <c r="A22" s="8">
        <v>11</v>
      </c>
      <c r="B22" s="328" t="s">
        <v>880</v>
      </c>
      <c r="C22" s="396">
        <v>3974</v>
      </c>
      <c r="D22" s="384">
        <f t="shared" si="0"/>
        <v>199.1</v>
      </c>
      <c r="E22" s="394">
        <v>3935</v>
      </c>
      <c r="F22" s="324">
        <v>196.75</v>
      </c>
      <c r="G22" s="394">
        <v>39</v>
      </c>
      <c r="H22" s="384">
        <v>2.35</v>
      </c>
      <c r="I22" s="329">
        <v>0</v>
      </c>
      <c r="J22" s="329">
        <v>0</v>
      </c>
      <c r="K22" s="329">
        <v>0</v>
      </c>
      <c r="L22" s="383">
        <v>39</v>
      </c>
      <c r="M22" s="389">
        <v>3935</v>
      </c>
      <c r="N22">
        <f t="shared" si="1"/>
        <v>3974</v>
      </c>
    </row>
    <row r="23" spans="1:14" ht="12.75">
      <c r="A23" s="8">
        <v>12</v>
      </c>
      <c r="B23" s="328" t="s">
        <v>881</v>
      </c>
      <c r="C23" s="396">
        <v>1765</v>
      </c>
      <c r="D23" s="384">
        <f t="shared" si="0"/>
        <v>8706.2</v>
      </c>
      <c r="E23" s="394">
        <v>1741</v>
      </c>
      <c r="F23" s="324">
        <v>8705</v>
      </c>
      <c r="G23" s="394">
        <v>24</v>
      </c>
      <c r="H23" s="384">
        <v>1.2</v>
      </c>
      <c r="I23" s="329">
        <v>0</v>
      </c>
      <c r="J23" s="329">
        <v>0</v>
      </c>
      <c r="K23" s="329">
        <v>0</v>
      </c>
      <c r="L23" s="383">
        <v>24</v>
      </c>
      <c r="M23" s="389">
        <v>1741</v>
      </c>
      <c r="N23">
        <f t="shared" si="1"/>
        <v>1765</v>
      </c>
    </row>
    <row r="24" spans="1:14" ht="12.75">
      <c r="A24" s="8">
        <v>13</v>
      </c>
      <c r="B24" s="328" t="s">
        <v>882</v>
      </c>
      <c r="C24" s="396">
        <v>5796</v>
      </c>
      <c r="D24" s="384">
        <f t="shared" si="0"/>
        <v>289.79999999999995</v>
      </c>
      <c r="E24" s="394">
        <v>5753</v>
      </c>
      <c r="F24" s="324">
        <v>287.65</v>
      </c>
      <c r="G24" s="394">
        <v>43</v>
      </c>
      <c r="H24" s="384">
        <v>2.15</v>
      </c>
      <c r="I24" s="329">
        <v>0</v>
      </c>
      <c r="J24" s="329">
        <v>0</v>
      </c>
      <c r="K24" s="329">
        <v>0</v>
      </c>
      <c r="L24" s="383">
        <v>43</v>
      </c>
      <c r="M24" s="389">
        <v>5753</v>
      </c>
      <c r="N24">
        <f t="shared" si="1"/>
        <v>5796</v>
      </c>
    </row>
    <row r="25" spans="1:14" ht="12.75">
      <c r="A25" s="8">
        <v>14</v>
      </c>
      <c r="B25" s="328" t="s">
        <v>883</v>
      </c>
      <c r="C25" s="396">
        <v>4520</v>
      </c>
      <c r="D25" s="384">
        <f t="shared" si="0"/>
        <v>226</v>
      </c>
      <c r="E25" s="394">
        <v>4491</v>
      </c>
      <c r="F25" s="324">
        <v>224.55</v>
      </c>
      <c r="G25" s="394">
        <v>29</v>
      </c>
      <c r="H25" s="384">
        <v>1.45</v>
      </c>
      <c r="I25" s="329">
        <v>0</v>
      </c>
      <c r="J25" s="329">
        <v>0</v>
      </c>
      <c r="K25" s="329">
        <v>0</v>
      </c>
      <c r="L25" s="383">
        <v>29</v>
      </c>
      <c r="M25" s="389">
        <v>4491</v>
      </c>
      <c r="N25">
        <f t="shared" si="1"/>
        <v>4520</v>
      </c>
    </row>
    <row r="26" spans="1:14" ht="12.75">
      <c r="A26" s="8">
        <v>15</v>
      </c>
      <c r="B26" s="328" t="s">
        <v>884</v>
      </c>
      <c r="C26" s="396">
        <v>5140</v>
      </c>
      <c r="D26" s="384">
        <f t="shared" si="0"/>
        <v>257</v>
      </c>
      <c r="E26" s="394">
        <v>5103</v>
      </c>
      <c r="F26" s="324">
        <v>255.15</v>
      </c>
      <c r="G26" s="394">
        <v>37</v>
      </c>
      <c r="H26" s="384">
        <v>1.85</v>
      </c>
      <c r="I26" s="329">
        <v>0</v>
      </c>
      <c r="J26" s="329">
        <v>0</v>
      </c>
      <c r="K26" s="329">
        <v>0</v>
      </c>
      <c r="L26" s="383">
        <v>37</v>
      </c>
      <c r="M26" s="389">
        <v>5103</v>
      </c>
      <c r="N26">
        <f t="shared" si="1"/>
        <v>5140</v>
      </c>
    </row>
    <row r="27" spans="1:14" ht="12.75">
      <c r="A27" s="8">
        <v>16</v>
      </c>
      <c r="B27" s="328" t="s">
        <v>885</v>
      </c>
      <c r="C27" s="396">
        <v>3332</v>
      </c>
      <c r="D27" s="384">
        <f t="shared" si="0"/>
        <v>166.6</v>
      </c>
      <c r="E27" s="394">
        <v>3293</v>
      </c>
      <c r="F27" s="324">
        <v>164.65</v>
      </c>
      <c r="G27" s="394">
        <v>39</v>
      </c>
      <c r="H27" s="384">
        <v>1.95</v>
      </c>
      <c r="I27" s="329">
        <v>0</v>
      </c>
      <c r="J27" s="329">
        <v>0</v>
      </c>
      <c r="K27" s="329">
        <v>0</v>
      </c>
      <c r="L27" s="383">
        <v>39</v>
      </c>
      <c r="M27" s="389">
        <v>3293</v>
      </c>
      <c r="N27">
        <f t="shared" si="1"/>
        <v>3332</v>
      </c>
    </row>
    <row r="28" spans="1:14" ht="12.75">
      <c r="A28" s="8">
        <v>17</v>
      </c>
      <c r="B28" s="328" t="s">
        <v>886</v>
      </c>
      <c r="C28" s="396">
        <v>0</v>
      </c>
      <c r="D28" s="384">
        <f t="shared" si="0"/>
        <v>0</v>
      </c>
      <c r="E28" s="394">
        <v>0</v>
      </c>
      <c r="F28" s="324">
        <v>0</v>
      </c>
      <c r="G28" s="394">
        <v>0</v>
      </c>
      <c r="H28" s="384">
        <f>G28*0.05</f>
        <v>0</v>
      </c>
      <c r="I28" s="329">
        <v>0</v>
      </c>
      <c r="J28" s="329">
        <v>0</v>
      </c>
      <c r="K28" s="329">
        <v>0</v>
      </c>
      <c r="L28" s="383">
        <v>0</v>
      </c>
      <c r="M28" s="389">
        <v>0</v>
      </c>
      <c r="N28">
        <f t="shared" si="1"/>
        <v>0</v>
      </c>
    </row>
    <row r="29" spans="1:14" ht="12.75">
      <c r="A29" s="8">
        <v>18</v>
      </c>
      <c r="B29" s="328" t="s">
        <v>887</v>
      </c>
      <c r="C29" s="396">
        <v>1677</v>
      </c>
      <c r="D29" s="384">
        <f t="shared" si="0"/>
        <v>83.85</v>
      </c>
      <c r="E29" s="394">
        <v>1630</v>
      </c>
      <c r="F29" s="324">
        <v>81.5</v>
      </c>
      <c r="G29" s="394">
        <v>47</v>
      </c>
      <c r="H29" s="384">
        <v>2.35</v>
      </c>
      <c r="I29" s="329">
        <v>0</v>
      </c>
      <c r="J29" s="329">
        <v>0</v>
      </c>
      <c r="K29" s="329">
        <v>0</v>
      </c>
      <c r="L29" s="383">
        <v>47</v>
      </c>
      <c r="M29" s="389">
        <v>1630</v>
      </c>
      <c r="N29">
        <f t="shared" si="1"/>
        <v>1677</v>
      </c>
    </row>
    <row r="30" spans="1:14" ht="12.75">
      <c r="A30" s="8">
        <v>19</v>
      </c>
      <c r="B30" s="328" t="s">
        <v>888</v>
      </c>
      <c r="C30" s="396">
        <v>5028</v>
      </c>
      <c r="D30" s="384">
        <f t="shared" si="0"/>
        <v>251.45</v>
      </c>
      <c r="E30" s="394">
        <v>5028</v>
      </c>
      <c r="F30" s="324">
        <v>251.45</v>
      </c>
      <c r="G30" s="394">
        <v>0</v>
      </c>
      <c r="H30" s="384">
        <f>G30*0.05</f>
        <v>0</v>
      </c>
      <c r="I30" s="329">
        <v>0</v>
      </c>
      <c r="J30" s="329">
        <v>0</v>
      </c>
      <c r="K30" s="329">
        <v>0</v>
      </c>
      <c r="L30" s="383">
        <v>0</v>
      </c>
      <c r="M30" s="389">
        <v>5028</v>
      </c>
      <c r="N30">
        <f t="shared" si="1"/>
        <v>5028</v>
      </c>
    </row>
    <row r="31" spans="1:14" ht="12.75">
      <c r="A31" s="8">
        <v>20</v>
      </c>
      <c r="B31" s="328" t="s">
        <v>889</v>
      </c>
      <c r="C31" s="396">
        <v>1800</v>
      </c>
      <c r="D31" s="384">
        <f t="shared" si="0"/>
        <v>90</v>
      </c>
      <c r="E31" s="394">
        <v>1756</v>
      </c>
      <c r="F31" s="324">
        <v>87.8</v>
      </c>
      <c r="G31" s="394">
        <v>44</v>
      </c>
      <c r="H31" s="384">
        <v>2.2</v>
      </c>
      <c r="I31" s="329">
        <v>0</v>
      </c>
      <c r="J31" s="329">
        <v>0</v>
      </c>
      <c r="K31" s="329">
        <v>0</v>
      </c>
      <c r="L31" s="383">
        <v>44</v>
      </c>
      <c r="M31" s="389">
        <v>1756</v>
      </c>
      <c r="N31">
        <f t="shared" si="1"/>
        <v>1800</v>
      </c>
    </row>
    <row r="32" spans="1:14" ht="12.75">
      <c r="A32" s="8">
        <v>21</v>
      </c>
      <c r="B32" s="328" t="s">
        <v>890</v>
      </c>
      <c r="C32" s="396">
        <v>7218</v>
      </c>
      <c r="D32" s="384">
        <f t="shared" si="0"/>
        <v>360.9</v>
      </c>
      <c r="E32" s="394">
        <v>7179</v>
      </c>
      <c r="F32" s="324">
        <v>358.95</v>
      </c>
      <c r="G32" s="394">
        <v>39</v>
      </c>
      <c r="H32" s="384">
        <v>1.95</v>
      </c>
      <c r="I32" s="329">
        <v>0</v>
      </c>
      <c r="J32" s="329">
        <v>0</v>
      </c>
      <c r="K32" s="329">
        <v>0</v>
      </c>
      <c r="L32" s="383">
        <v>39</v>
      </c>
      <c r="M32" s="389">
        <v>7179</v>
      </c>
      <c r="N32">
        <f t="shared" si="1"/>
        <v>7218</v>
      </c>
    </row>
    <row r="33" spans="1:14" ht="12.75">
      <c r="A33" s="8">
        <v>22</v>
      </c>
      <c r="B33" s="328" t="s">
        <v>891</v>
      </c>
      <c r="C33" s="396">
        <v>1605</v>
      </c>
      <c r="D33" s="384">
        <f t="shared" si="0"/>
        <v>80.25</v>
      </c>
      <c r="E33" s="394">
        <v>1605</v>
      </c>
      <c r="F33" s="324">
        <v>80.25</v>
      </c>
      <c r="G33" s="394">
        <v>0</v>
      </c>
      <c r="H33" s="384">
        <f>G33*0.05</f>
        <v>0</v>
      </c>
      <c r="I33" s="329">
        <v>0</v>
      </c>
      <c r="J33" s="329">
        <v>0</v>
      </c>
      <c r="K33" s="329">
        <v>0</v>
      </c>
      <c r="L33" s="383">
        <v>0</v>
      </c>
      <c r="M33" s="389">
        <v>1605</v>
      </c>
      <c r="N33">
        <f t="shared" si="1"/>
        <v>1605</v>
      </c>
    </row>
    <row r="34" spans="1:14" ht="12.75">
      <c r="A34" s="8">
        <v>23</v>
      </c>
      <c r="B34" s="328" t="s">
        <v>892</v>
      </c>
      <c r="C34" s="396">
        <v>2400</v>
      </c>
      <c r="D34" s="384">
        <f t="shared" si="0"/>
        <v>120</v>
      </c>
      <c r="E34" s="394">
        <v>2358</v>
      </c>
      <c r="F34" s="324">
        <v>117.9</v>
      </c>
      <c r="G34" s="394">
        <v>42</v>
      </c>
      <c r="H34" s="384">
        <v>2.1</v>
      </c>
      <c r="I34" s="329">
        <v>0</v>
      </c>
      <c r="J34" s="329">
        <v>0</v>
      </c>
      <c r="K34" s="329">
        <v>0</v>
      </c>
      <c r="L34" s="383">
        <v>42</v>
      </c>
      <c r="M34" s="389">
        <v>2358</v>
      </c>
      <c r="N34">
        <f t="shared" si="1"/>
        <v>2400</v>
      </c>
    </row>
    <row r="35" spans="1:14" ht="12.75">
      <c r="A35" s="8">
        <v>24</v>
      </c>
      <c r="B35" s="328" t="s">
        <v>893</v>
      </c>
      <c r="C35" s="396">
        <v>10958</v>
      </c>
      <c r="D35" s="384">
        <f t="shared" si="0"/>
        <v>547.9</v>
      </c>
      <c r="E35" s="394">
        <v>10697</v>
      </c>
      <c r="F35" s="324">
        <v>534.85</v>
      </c>
      <c r="G35" s="394">
        <v>261</v>
      </c>
      <c r="H35" s="384">
        <v>13.05</v>
      </c>
      <c r="I35" s="329">
        <v>0</v>
      </c>
      <c r="J35" s="329">
        <v>0</v>
      </c>
      <c r="K35" s="329">
        <v>0</v>
      </c>
      <c r="L35" s="383">
        <v>261</v>
      </c>
      <c r="M35" s="389">
        <v>10697</v>
      </c>
      <c r="N35">
        <f t="shared" si="1"/>
        <v>10958</v>
      </c>
    </row>
    <row r="36" spans="1:14" ht="12.75">
      <c r="A36" s="8">
        <v>25</v>
      </c>
      <c r="B36" s="328" t="s">
        <v>894</v>
      </c>
      <c r="C36" s="396">
        <v>2946</v>
      </c>
      <c r="D36" s="384">
        <f t="shared" si="0"/>
        <v>147.3</v>
      </c>
      <c r="E36" s="394">
        <v>2910</v>
      </c>
      <c r="F36" s="324">
        <v>145.5</v>
      </c>
      <c r="G36" s="394">
        <v>36</v>
      </c>
      <c r="H36" s="384">
        <v>1.8</v>
      </c>
      <c r="I36" s="329">
        <v>0</v>
      </c>
      <c r="J36" s="329">
        <v>0</v>
      </c>
      <c r="K36" s="329">
        <v>0</v>
      </c>
      <c r="L36" s="383">
        <v>36</v>
      </c>
      <c r="M36" s="389">
        <v>2910</v>
      </c>
      <c r="N36">
        <f t="shared" si="1"/>
        <v>2946</v>
      </c>
    </row>
    <row r="37" spans="1:14" ht="12.75">
      <c r="A37" s="8">
        <v>26</v>
      </c>
      <c r="B37" s="328" t="s">
        <v>895</v>
      </c>
      <c r="C37" s="396">
        <v>1735</v>
      </c>
      <c r="D37" s="384">
        <f t="shared" si="0"/>
        <v>86.75</v>
      </c>
      <c r="E37" s="394">
        <v>1700</v>
      </c>
      <c r="F37" s="324">
        <v>85</v>
      </c>
      <c r="G37" s="394">
        <v>35</v>
      </c>
      <c r="H37" s="384">
        <v>1.75</v>
      </c>
      <c r="I37" s="329">
        <v>0</v>
      </c>
      <c r="J37" s="329">
        <v>0</v>
      </c>
      <c r="K37" s="329">
        <v>0</v>
      </c>
      <c r="L37" s="383">
        <v>35</v>
      </c>
      <c r="M37" s="389">
        <v>1700</v>
      </c>
      <c r="N37">
        <f t="shared" si="1"/>
        <v>1735</v>
      </c>
    </row>
    <row r="38" spans="1:14" ht="12.75">
      <c r="A38" s="8">
        <v>27</v>
      </c>
      <c r="B38" s="328" t="s">
        <v>896</v>
      </c>
      <c r="C38" s="396">
        <v>3414</v>
      </c>
      <c r="D38" s="384">
        <f t="shared" si="0"/>
        <v>170.7</v>
      </c>
      <c r="E38" s="394">
        <v>3375</v>
      </c>
      <c r="F38" s="324">
        <v>168.75</v>
      </c>
      <c r="G38" s="394">
        <v>39</v>
      </c>
      <c r="H38" s="384">
        <v>1.95</v>
      </c>
      <c r="I38" s="329">
        <v>0</v>
      </c>
      <c r="J38" s="329">
        <v>0</v>
      </c>
      <c r="K38" s="329">
        <v>0</v>
      </c>
      <c r="L38" s="383">
        <v>39</v>
      </c>
      <c r="M38" s="389">
        <v>3375</v>
      </c>
      <c r="N38">
        <f t="shared" si="1"/>
        <v>3414</v>
      </c>
    </row>
    <row r="39" spans="1:14" ht="12.75">
      <c r="A39" s="8">
        <v>28</v>
      </c>
      <c r="B39" s="328" t="s">
        <v>897</v>
      </c>
      <c r="C39" s="396">
        <v>3555</v>
      </c>
      <c r="D39" s="384">
        <f t="shared" si="0"/>
        <v>177.75</v>
      </c>
      <c r="E39" s="394">
        <v>3504</v>
      </c>
      <c r="F39" s="324">
        <v>175.2</v>
      </c>
      <c r="G39" s="394">
        <v>51</v>
      </c>
      <c r="H39" s="384">
        <v>2.55</v>
      </c>
      <c r="I39" s="329">
        <v>0</v>
      </c>
      <c r="J39" s="329">
        <v>0</v>
      </c>
      <c r="K39" s="329">
        <v>0</v>
      </c>
      <c r="L39" s="383">
        <v>51</v>
      </c>
      <c r="M39" s="389">
        <v>3504</v>
      </c>
      <c r="N39">
        <f t="shared" si="1"/>
        <v>3555</v>
      </c>
    </row>
    <row r="40" spans="1:14" ht="12.75">
      <c r="A40" s="8">
        <v>29</v>
      </c>
      <c r="B40" s="328" t="s">
        <v>898</v>
      </c>
      <c r="C40" s="396">
        <v>1021</v>
      </c>
      <c r="D40" s="384">
        <f t="shared" si="0"/>
        <v>51.05</v>
      </c>
      <c r="E40" s="394">
        <v>993</v>
      </c>
      <c r="F40" s="324">
        <v>49.65</v>
      </c>
      <c r="G40" s="394">
        <v>28</v>
      </c>
      <c r="H40" s="384">
        <v>1.4</v>
      </c>
      <c r="I40" s="329">
        <v>0</v>
      </c>
      <c r="J40" s="329">
        <v>0</v>
      </c>
      <c r="K40" s="329">
        <v>0</v>
      </c>
      <c r="L40" s="383">
        <v>28</v>
      </c>
      <c r="M40" s="389">
        <v>993</v>
      </c>
      <c r="N40">
        <f t="shared" si="1"/>
        <v>1021</v>
      </c>
    </row>
    <row r="41" spans="1:14" ht="12.75">
      <c r="A41" s="8">
        <v>30</v>
      </c>
      <c r="B41" s="328" t="s">
        <v>899</v>
      </c>
      <c r="C41" s="396">
        <v>6293</v>
      </c>
      <c r="D41" s="384">
        <f t="shared" si="0"/>
        <v>314.65</v>
      </c>
      <c r="E41" s="394">
        <v>6250</v>
      </c>
      <c r="F41" s="324">
        <v>312.5</v>
      </c>
      <c r="G41" s="394">
        <v>43</v>
      </c>
      <c r="H41" s="384">
        <v>2.15</v>
      </c>
      <c r="I41" s="329">
        <v>0</v>
      </c>
      <c r="J41" s="329">
        <v>0</v>
      </c>
      <c r="K41" s="329">
        <v>0</v>
      </c>
      <c r="L41" s="383">
        <v>43</v>
      </c>
      <c r="M41" s="389">
        <v>6250</v>
      </c>
      <c r="N41">
        <f t="shared" si="1"/>
        <v>6293</v>
      </c>
    </row>
    <row r="42" spans="1:14" ht="12.75">
      <c r="A42" s="8">
        <v>31</v>
      </c>
      <c r="B42" s="328" t="s">
        <v>900</v>
      </c>
      <c r="C42" s="396">
        <v>7752</v>
      </c>
      <c r="D42" s="384">
        <f t="shared" si="0"/>
        <v>387.6</v>
      </c>
      <c r="E42" s="394">
        <v>7580</v>
      </c>
      <c r="F42" s="324">
        <v>379</v>
      </c>
      <c r="G42" s="394">
        <v>172</v>
      </c>
      <c r="H42" s="384">
        <v>8.6</v>
      </c>
      <c r="I42" s="329">
        <v>0</v>
      </c>
      <c r="J42" s="329">
        <v>0</v>
      </c>
      <c r="K42" s="329">
        <v>0</v>
      </c>
      <c r="L42" s="383">
        <v>172</v>
      </c>
      <c r="M42" s="389">
        <v>7580</v>
      </c>
      <c r="N42">
        <f t="shared" si="1"/>
        <v>7752</v>
      </c>
    </row>
    <row r="43" spans="1:14" ht="12.75">
      <c r="A43" s="8">
        <v>32</v>
      </c>
      <c r="B43" s="328" t="s">
        <v>901</v>
      </c>
      <c r="C43" s="396">
        <v>5758</v>
      </c>
      <c r="D43" s="384">
        <f t="shared" si="0"/>
        <v>137.9</v>
      </c>
      <c r="E43" s="394">
        <v>5758</v>
      </c>
      <c r="F43" s="324">
        <v>137.9</v>
      </c>
      <c r="G43" s="394">
        <v>0</v>
      </c>
      <c r="H43" s="384">
        <f>G43*0.05</f>
        <v>0</v>
      </c>
      <c r="I43" s="329">
        <v>0</v>
      </c>
      <c r="J43" s="329">
        <v>0</v>
      </c>
      <c r="K43" s="329">
        <v>0</v>
      </c>
      <c r="L43" s="383">
        <v>0</v>
      </c>
      <c r="M43" s="389">
        <v>5758</v>
      </c>
      <c r="N43">
        <f t="shared" si="1"/>
        <v>5758</v>
      </c>
    </row>
    <row r="44" spans="1:14" ht="12.75">
      <c r="A44" s="8">
        <v>33</v>
      </c>
      <c r="B44" s="328" t="s">
        <v>902</v>
      </c>
      <c r="C44" s="396">
        <v>1001</v>
      </c>
      <c r="D44" s="384">
        <f t="shared" si="0"/>
        <v>50.25</v>
      </c>
      <c r="E44" s="394">
        <v>968</v>
      </c>
      <c r="F44" s="324">
        <v>48.4</v>
      </c>
      <c r="G44" s="394">
        <v>33</v>
      </c>
      <c r="H44" s="384">
        <v>1.85</v>
      </c>
      <c r="I44" s="329">
        <v>0</v>
      </c>
      <c r="J44" s="329">
        <v>0</v>
      </c>
      <c r="K44" s="329">
        <v>0</v>
      </c>
      <c r="L44" s="383">
        <v>33</v>
      </c>
      <c r="M44" s="389">
        <v>968</v>
      </c>
      <c r="N44">
        <f t="shared" si="1"/>
        <v>1001</v>
      </c>
    </row>
    <row r="45" spans="1:14" ht="12.75">
      <c r="A45" s="8">
        <v>34</v>
      </c>
      <c r="B45" s="328" t="s">
        <v>903</v>
      </c>
      <c r="C45" s="396">
        <v>1049</v>
      </c>
      <c r="D45" s="384">
        <f t="shared" si="0"/>
        <v>52.45</v>
      </c>
      <c r="E45" s="394">
        <v>1012</v>
      </c>
      <c r="F45" s="324">
        <v>50.6</v>
      </c>
      <c r="G45" s="394">
        <v>37</v>
      </c>
      <c r="H45" s="384">
        <v>1.85</v>
      </c>
      <c r="I45" s="329">
        <v>0</v>
      </c>
      <c r="J45" s="329">
        <v>0</v>
      </c>
      <c r="K45" s="329">
        <v>0</v>
      </c>
      <c r="L45" s="383">
        <v>37</v>
      </c>
      <c r="M45" s="389">
        <v>1012</v>
      </c>
      <c r="N45">
        <f t="shared" si="1"/>
        <v>1049</v>
      </c>
    </row>
    <row r="46" spans="1:14" ht="12.75">
      <c r="A46" s="8">
        <v>35</v>
      </c>
      <c r="B46" s="328" t="s">
        <v>904</v>
      </c>
      <c r="C46" s="396">
        <v>3395</v>
      </c>
      <c r="D46" s="384">
        <f t="shared" si="0"/>
        <v>169.75</v>
      </c>
      <c r="E46" s="394">
        <v>3352</v>
      </c>
      <c r="F46" s="9">
        <v>167.6</v>
      </c>
      <c r="G46" s="394">
        <v>43</v>
      </c>
      <c r="H46" s="384">
        <v>2.15</v>
      </c>
      <c r="I46" s="329">
        <v>0</v>
      </c>
      <c r="J46" s="329">
        <v>0</v>
      </c>
      <c r="K46" s="329">
        <v>0</v>
      </c>
      <c r="L46" s="383">
        <v>43</v>
      </c>
      <c r="M46" s="389">
        <v>3352</v>
      </c>
      <c r="N46">
        <f t="shared" si="1"/>
        <v>3395</v>
      </c>
    </row>
    <row r="47" spans="1:12" s="13" customFormat="1" ht="12.75">
      <c r="A47" s="3" t="s">
        <v>19</v>
      </c>
      <c r="B47" s="9"/>
      <c r="C47" s="396">
        <f aca="true" t="shared" si="2" ref="C47:H47">SUM(C12:C46)</f>
        <v>123020</v>
      </c>
      <c r="D47" s="324">
        <f t="shared" si="2"/>
        <v>14676.15</v>
      </c>
      <c r="E47" s="9">
        <f t="shared" si="2"/>
        <v>121506</v>
      </c>
      <c r="F47" s="324">
        <f t="shared" si="2"/>
        <v>14598.3</v>
      </c>
      <c r="G47" s="9">
        <f t="shared" si="2"/>
        <v>1514</v>
      </c>
      <c r="H47" s="324">
        <f t="shared" si="2"/>
        <v>77.85</v>
      </c>
      <c r="I47" s="9">
        <v>0</v>
      </c>
      <c r="J47" s="9">
        <v>0</v>
      </c>
      <c r="K47" s="9">
        <v>0</v>
      </c>
      <c r="L47" s="13">
        <f>SUM(L12:L46)</f>
        <v>1514</v>
      </c>
    </row>
    <row r="48" s="13" customFormat="1" ht="12.75"/>
    <row r="49" s="13" customFormat="1" ht="12.75">
      <c r="A49" s="11" t="s">
        <v>41</v>
      </c>
    </row>
    <row r="50" spans="3:6" ht="15.75" customHeight="1">
      <c r="C50" s="398"/>
      <c r="D50" s="398"/>
      <c r="E50" s="398"/>
      <c r="F50" s="398"/>
    </row>
    <row r="51" spans="2:15" s="16" customFormat="1" ht="13.5" customHeight="1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s="16" customFormat="1" ht="12.75" customHeight="1">
      <c r="A52" s="83"/>
      <c r="B52" s="83"/>
      <c r="C52" s="748" t="s">
        <v>1021</v>
      </c>
      <c r="D52" s="748"/>
      <c r="E52" s="748"/>
      <c r="F52" s="83"/>
      <c r="G52"/>
      <c r="H52"/>
      <c r="I52" s="748" t="s">
        <v>1024</v>
      </c>
      <c r="J52" s="748"/>
      <c r="K52" s="748"/>
      <c r="L52" s="748"/>
      <c r="M52" s="748"/>
      <c r="N52" s="748"/>
      <c r="O52" s="83"/>
    </row>
    <row r="53" spans="1:15" s="16" customFormat="1" ht="12.75" customHeight="1">
      <c r="A53" s="83"/>
      <c r="B53" s="83"/>
      <c r="C53" s="748" t="s">
        <v>1022</v>
      </c>
      <c r="D53" s="748"/>
      <c r="E53" s="748"/>
      <c r="F53" s="83"/>
      <c r="G53"/>
      <c r="H53"/>
      <c r="I53" s="748" t="s">
        <v>1025</v>
      </c>
      <c r="J53" s="748"/>
      <c r="K53" s="748"/>
      <c r="L53" s="748"/>
      <c r="M53" s="748"/>
      <c r="N53" s="748"/>
      <c r="O53" s="83"/>
    </row>
    <row r="54" spans="1:14" s="16" customFormat="1" ht="12.75">
      <c r="A54" s="15" t="s">
        <v>22</v>
      </c>
      <c r="B54" s="15"/>
      <c r="C54" s="735" t="s">
        <v>1023</v>
      </c>
      <c r="D54" s="735"/>
      <c r="E54" s="735"/>
      <c r="F54" s="36"/>
      <c r="G54"/>
      <c r="H54"/>
      <c r="I54" s="735" t="s">
        <v>1023</v>
      </c>
      <c r="J54" s="735"/>
      <c r="K54" s="735"/>
      <c r="L54" s="735"/>
      <c r="M54" s="735"/>
      <c r="N54" s="735"/>
    </row>
    <row r="55" s="16" customFormat="1" ht="12.75">
      <c r="A55" s="15"/>
    </row>
    <row r="56" spans="1:10" ht="12.75">
      <c r="A56" s="805"/>
      <c r="B56" s="805"/>
      <c r="C56" s="805"/>
      <c r="D56" s="805"/>
      <c r="E56" s="805"/>
      <c r="F56" s="805"/>
      <c r="G56" s="805"/>
      <c r="H56" s="805"/>
      <c r="I56" s="805"/>
      <c r="J56" s="805"/>
    </row>
  </sheetData>
  <sheetProtection/>
  <mergeCells count="21">
    <mergeCell ref="D1:E1"/>
    <mergeCell ref="J1:K1"/>
    <mergeCell ref="A2:J2"/>
    <mergeCell ref="A3:J3"/>
    <mergeCell ref="I7:K7"/>
    <mergeCell ref="A5:K5"/>
    <mergeCell ref="K9:K10"/>
    <mergeCell ref="C8:J8"/>
    <mergeCell ref="A9:A10"/>
    <mergeCell ref="B9:B10"/>
    <mergeCell ref="C9:D9"/>
    <mergeCell ref="E9:F9"/>
    <mergeCell ref="G9:H9"/>
    <mergeCell ref="I9:J9"/>
    <mergeCell ref="C53:E53"/>
    <mergeCell ref="C54:E54"/>
    <mergeCell ref="I52:N52"/>
    <mergeCell ref="I53:N53"/>
    <mergeCell ref="I54:N54"/>
    <mergeCell ref="A56:J56"/>
    <mergeCell ref="C52:E52"/>
  </mergeCells>
  <printOptions horizontalCentered="1"/>
  <pageMargins left="0.7086614173228347" right="0.7086614173228347" top="0.2362204724409449" bottom="0" header="0.31496062992125984" footer="0.2"/>
  <pageSetup fitToHeight="1" fitToWidth="1" horizontalDpi="600" verticalDpi="600" orientation="landscape" paperSize="9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5" sqref="A15:IV15"/>
    </sheetView>
  </sheetViews>
  <sheetFormatPr defaultColWidth="9.140625" defaultRowHeight="12.75"/>
  <cols>
    <col min="1" max="1" width="7.140625" style="0" customWidth="1"/>
    <col min="2" max="2" width="14.8515625" style="0" customWidth="1"/>
    <col min="3" max="3" width="14.57421875" style="0" customWidth="1"/>
    <col min="4" max="4" width="16.57421875" style="286" customWidth="1"/>
    <col min="5" max="8" width="18.421875" style="286" customWidth="1"/>
  </cols>
  <sheetData>
    <row r="1" ht="12.75">
      <c r="H1" s="291" t="s">
        <v>533</v>
      </c>
    </row>
    <row r="2" spans="1:15" ht="18">
      <c r="A2" s="801" t="s">
        <v>0</v>
      </c>
      <c r="B2" s="801"/>
      <c r="C2" s="801"/>
      <c r="D2" s="801"/>
      <c r="E2" s="801"/>
      <c r="F2" s="801"/>
      <c r="G2" s="801"/>
      <c r="H2" s="801"/>
      <c r="I2" s="226"/>
      <c r="J2" s="226"/>
      <c r="K2" s="226"/>
      <c r="L2" s="226"/>
      <c r="M2" s="226"/>
      <c r="N2" s="226"/>
      <c r="O2" s="226"/>
    </row>
    <row r="3" spans="1:15" ht="21">
      <c r="A3" s="802" t="s">
        <v>693</v>
      </c>
      <c r="B3" s="802"/>
      <c r="C3" s="802"/>
      <c r="D3" s="802"/>
      <c r="E3" s="802"/>
      <c r="F3" s="802"/>
      <c r="G3" s="802"/>
      <c r="H3" s="802"/>
      <c r="I3" s="227"/>
      <c r="J3" s="227"/>
      <c r="K3" s="227"/>
      <c r="L3" s="227"/>
      <c r="M3" s="227"/>
      <c r="N3" s="227"/>
      <c r="O3" s="227"/>
    </row>
    <row r="4" spans="1:15" ht="15">
      <c r="A4" s="196"/>
      <c r="B4" s="196"/>
      <c r="C4" s="196"/>
      <c r="D4" s="284"/>
      <c r="E4" s="284"/>
      <c r="F4" s="284"/>
      <c r="G4" s="284"/>
      <c r="H4" s="284"/>
      <c r="I4" s="196"/>
      <c r="J4" s="196"/>
      <c r="K4" s="196"/>
      <c r="L4" s="196"/>
      <c r="M4" s="196"/>
      <c r="N4" s="196"/>
      <c r="O4" s="196"/>
    </row>
    <row r="5" spans="1:15" ht="18">
      <c r="A5" s="801" t="s">
        <v>532</v>
      </c>
      <c r="B5" s="801"/>
      <c r="C5" s="801"/>
      <c r="D5" s="801"/>
      <c r="E5" s="801"/>
      <c r="F5" s="801"/>
      <c r="G5" s="801"/>
      <c r="H5" s="801"/>
      <c r="I5" s="226"/>
      <c r="J5" s="226"/>
      <c r="K5" s="226"/>
      <c r="L5" s="226"/>
      <c r="M5" s="226"/>
      <c r="N5" s="226"/>
      <c r="O5" s="226"/>
    </row>
    <row r="6" spans="1:15" ht="15">
      <c r="A6" s="208" t="s">
        <v>1020</v>
      </c>
      <c r="B6" s="208"/>
      <c r="C6" s="209"/>
      <c r="D6" s="284"/>
      <c r="E6" s="284"/>
      <c r="F6" s="949" t="s">
        <v>820</v>
      </c>
      <c r="G6" s="949"/>
      <c r="H6" s="949"/>
      <c r="I6" s="196"/>
      <c r="J6" s="196"/>
      <c r="K6" s="196"/>
      <c r="L6" s="228"/>
      <c r="M6" s="228"/>
      <c r="N6" s="947"/>
      <c r="O6" s="947"/>
    </row>
    <row r="7" spans="1:8" ht="31.5" customHeight="1">
      <c r="A7" s="917" t="s">
        <v>2</v>
      </c>
      <c r="B7" s="917" t="s">
        <v>3</v>
      </c>
      <c r="C7" s="948" t="s">
        <v>401</v>
      </c>
      <c r="D7" s="944" t="s">
        <v>510</v>
      </c>
      <c r="E7" s="945"/>
      <c r="F7" s="945"/>
      <c r="G7" s="945"/>
      <c r="H7" s="946"/>
    </row>
    <row r="8" spans="1:8" ht="34.5" customHeight="1">
      <c r="A8" s="917"/>
      <c r="B8" s="917"/>
      <c r="C8" s="948"/>
      <c r="D8" s="285" t="s">
        <v>511</v>
      </c>
      <c r="E8" s="285" t="s">
        <v>512</v>
      </c>
      <c r="F8" s="285" t="s">
        <v>513</v>
      </c>
      <c r="G8" s="285" t="s">
        <v>719</v>
      </c>
      <c r="H8" s="285" t="s">
        <v>47</v>
      </c>
    </row>
    <row r="9" spans="1:8" ht="15">
      <c r="A9" s="229">
        <v>1</v>
      </c>
      <c r="B9" s="229">
        <v>2</v>
      </c>
      <c r="C9" s="229">
        <v>3</v>
      </c>
      <c r="D9" s="229">
        <v>4</v>
      </c>
      <c r="E9" s="229">
        <v>5</v>
      </c>
      <c r="F9" s="229">
        <v>6</v>
      </c>
      <c r="G9" s="229">
        <v>7</v>
      </c>
      <c r="H9" s="229">
        <v>8</v>
      </c>
    </row>
    <row r="10" spans="1:8" ht="12.75">
      <c r="A10" s="9">
        <v>1</v>
      </c>
      <c r="B10" s="328" t="s">
        <v>870</v>
      </c>
      <c r="C10" s="9">
        <f>'AT-3'!F9</f>
        <v>4538</v>
      </c>
      <c r="D10" s="201">
        <v>3400</v>
      </c>
      <c r="E10" s="201">
        <v>0</v>
      </c>
      <c r="F10" s="201">
        <v>741</v>
      </c>
      <c r="G10" s="201">
        <v>0</v>
      </c>
      <c r="H10" s="201">
        <v>0</v>
      </c>
    </row>
    <row r="11" spans="1:8" ht="12.75">
      <c r="A11" s="9">
        <v>2</v>
      </c>
      <c r="B11" s="328" t="s">
        <v>871</v>
      </c>
      <c r="C11" s="9">
        <f>'AT-3'!F10</f>
        <v>1430</v>
      </c>
      <c r="D11" s="201">
        <v>842</v>
      </c>
      <c r="E11" s="201">
        <v>0</v>
      </c>
      <c r="F11" s="201">
        <v>588</v>
      </c>
      <c r="G11" s="201">
        <v>0</v>
      </c>
      <c r="H11" s="201">
        <v>0</v>
      </c>
    </row>
    <row r="12" spans="1:8" ht="12.75">
      <c r="A12" s="9">
        <v>3</v>
      </c>
      <c r="B12" s="328" t="s">
        <v>872</v>
      </c>
      <c r="C12" s="9">
        <f>'AT-3'!F11</f>
        <v>2401</v>
      </c>
      <c r="D12" s="201">
        <v>989</v>
      </c>
      <c r="E12" s="201">
        <v>0</v>
      </c>
      <c r="F12" s="201">
        <v>1412</v>
      </c>
      <c r="G12" s="201">
        <v>0</v>
      </c>
      <c r="H12" s="201">
        <v>0</v>
      </c>
    </row>
    <row r="13" spans="1:9" ht="12.75">
      <c r="A13" s="9">
        <v>4</v>
      </c>
      <c r="B13" s="328" t="s">
        <v>873</v>
      </c>
      <c r="C13" s="9">
        <f>'AT-3'!F12</f>
        <v>2981</v>
      </c>
      <c r="D13" s="201">
        <v>712</v>
      </c>
      <c r="E13" s="201">
        <v>0</v>
      </c>
      <c r="F13" s="201">
        <v>2269</v>
      </c>
      <c r="G13" s="201">
        <v>0</v>
      </c>
      <c r="H13" s="201">
        <v>1</v>
      </c>
      <c r="I13" t="s">
        <v>968</v>
      </c>
    </row>
    <row r="14" spans="1:8" ht="12.75">
      <c r="A14" s="9">
        <v>5</v>
      </c>
      <c r="B14" s="328" t="s">
        <v>874</v>
      </c>
      <c r="C14" s="9">
        <f>'AT-3'!F13</f>
        <v>3224</v>
      </c>
      <c r="D14" s="201">
        <v>26</v>
      </c>
      <c r="E14" s="201">
        <v>0</v>
      </c>
      <c r="F14" s="201">
        <v>3198</v>
      </c>
      <c r="G14" s="201">
        <v>0</v>
      </c>
      <c r="H14" s="201">
        <v>0</v>
      </c>
    </row>
    <row r="15" spans="1:8" s="671" customFormat="1" ht="12.75">
      <c r="A15" s="497">
        <v>6</v>
      </c>
      <c r="B15" s="670" t="s">
        <v>875</v>
      </c>
      <c r="C15" s="497">
        <f>'AT-3'!F14</f>
        <v>1132</v>
      </c>
      <c r="D15" s="497">
        <v>397</v>
      </c>
      <c r="E15" s="497">
        <v>0</v>
      </c>
      <c r="F15" s="497">
        <f>C15-D15</f>
        <v>735</v>
      </c>
      <c r="G15" s="497"/>
      <c r="H15" s="497"/>
    </row>
    <row r="16" spans="1:8" ht="12.75">
      <c r="A16" s="9">
        <v>7</v>
      </c>
      <c r="B16" s="328" t="s">
        <v>876</v>
      </c>
      <c r="C16" s="9">
        <f>'AT-3'!F15</f>
        <v>2013</v>
      </c>
      <c r="D16" s="201">
        <v>84</v>
      </c>
      <c r="E16" s="201">
        <v>0</v>
      </c>
      <c r="F16" s="201">
        <v>1929</v>
      </c>
      <c r="G16" s="201">
        <v>0</v>
      </c>
      <c r="H16" s="201">
        <v>0</v>
      </c>
    </row>
    <row r="17" spans="1:8" ht="12.75">
      <c r="A17" s="9">
        <v>8</v>
      </c>
      <c r="B17" s="328" t="s">
        <v>877</v>
      </c>
      <c r="C17" s="9">
        <f>'AT-3'!F16</f>
        <v>2035</v>
      </c>
      <c r="D17" s="201">
        <v>0</v>
      </c>
      <c r="E17" s="201">
        <v>0</v>
      </c>
      <c r="F17" s="201">
        <v>2035</v>
      </c>
      <c r="G17" s="201">
        <v>0</v>
      </c>
      <c r="H17" s="201">
        <v>0</v>
      </c>
    </row>
    <row r="18" spans="1:8" ht="12.75">
      <c r="A18" s="9">
        <v>9</v>
      </c>
      <c r="B18" s="328" t="s">
        <v>878</v>
      </c>
      <c r="C18" s="9">
        <f>'AT-3'!F17</f>
        <v>1682</v>
      </c>
      <c r="D18" s="201">
        <v>1682</v>
      </c>
      <c r="E18" s="201">
        <v>0</v>
      </c>
      <c r="F18" s="201">
        <v>0</v>
      </c>
      <c r="G18" s="201">
        <v>0</v>
      </c>
      <c r="H18" s="201">
        <v>0</v>
      </c>
    </row>
    <row r="19" spans="1:8" ht="12.75">
      <c r="A19" s="9">
        <v>10</v>
      </c>
      <c r="B19" s="328" t="s">
        <v>879</v>
      </c>
      <c r="C19" s="9">
        <v>1799</v>
      </c>
      <c r="D19" s="201">
        <v>0</v>
      </c>
      <c r="E19" s="201">
        <v>0</v>
      </c>
      <c r="F19" s="201">
        <v>1799</v>
      </c>
      <c r="G19" s="201">
        <v>0</v>
      </c>
      <c r="H19" s="201">
        <v>0</v>
      </c>
    </row>
    <row r="20" spans="1:8" ht="12.75">
      <c r="A20" s="9">
        <v>11</v>
      </c>
      <c r="B20" s="328" t="s">
        <v>880</v>
      </c>
      <c r="C20" s="9">
        <f>'AT-3'!F19</f>
        <v>1374</v>
      </c>
      <c r="D20" s="201">
        <v>35</v>
      </c>
      <c r="E20" s="201">
        <v>0</v>
      </c>
      <c r="F20" s="201">
        <v>1339</v>
      </c>
      <c r="G20" s="201">
        <v>0</v>
      </c>
      <c r="H20" s="201">
        <v>0</v>
      </c>
    </row>
    <row r="21" spans="1:8" ht="12.75">
      <c r="A21" s="9">
        <v>12</v>
      </c>
      <c r="B21" s="328" t="s">
        <v>881</v>
      </c>
      <c r="C21" s="9">
        <f>'AT-3'!F20</f>
        <v>1032</v>
      </c>
      <c r="D21" s="201">
        <v>20</v>
      </c>
      <c r="E21" s="201">
        <v>0</v>
      </c>
      <c r="F21" s="201">
        <v>1012</v>
      </c>
      <c r="G21" s="201">
        <v>0</v>
      </c>
      <c r="H21" s="201">
        <v>0</v>
      </c>
    </row>
    <row r="22" spans="1:8" ht="12.75">
      <c r="A22" s="9">
        <v>13</v>
      </c>
      <c r="B22" s="328" t="s">
        <v>882</v>
      </c>
      <c r="C22" s="9">
        <f>'AT-3'!F21</f>
        <v>2748</v>
      </c>
      <c r="D22" s="201">
        <v>212</v>
      </c>
      <c r="E22" s="201">
        <v>0</v>
      </c>
      <c r="F22" s="201">
        <v>2536</v>
      </c>
      <c r="G22" s="201">
        <v>0</v>
      </c>
      <c r="H22" s="201">
        <v>0</v>
      </c>
    </row>
    <row r="23" spans="1:8" ht="12.75">
      <c r="A23" s="9">
        <v>14</v>
      </c>
      <c r="B23" s="328" t="s">
        <v>883</v>
      </c>
      <c r="C23" s="9">
        <f>'AT-3'!F22</f>
        <v>1923</v>
      </c>
      <c r="D23" s="577">
        <v>101</v>
      </c>
      <c r="E23" s="577">
        <v>0</v>
      </c>
      <c r="F23" s="577">
        <v>1822</v>
      </c>
      <c r="G23" s="577">
        <v>0</v>
      </c>
      <c r="H23" s="577">
        <v>0</v>
      </c>
    </row>
    <row r="24" spans="1:8" ht="12.75">
      <c r="A24" s="9">
        <v>15</v>
      </c>
      <c r="B24" s="328" t="s">
        <v>884</v>
      </c>
      <c r="C24" s="9">
        <f>'AT-3'!F23</f>
        <v>3061</v>
      </c>
      <c r="D24" s="577">
        <v>2408</v>
      </c>
      <c r="E24" s="577">
        <v>0</v>
      </c>
      <c r="F24" s="577">
        <v>827</v>
      </c>
      <c r="G24" s="577">
        <v>0</v>
      </c>
      <c r="H24" s="577">
        <v>0</v>
      </c>
    </row>
    <row r="25" spans="1:8" ht="12.75">
      <c r="A25" s="9">
        <v>16</v>
      </c>
      <c r="B25" s="328" t="s">
        <v>885</v>
      </c>
      <c r="C25" s="9">
        <f>'AT-3'!F24</f>
        <v>2137</v>
      </c>
      <c r="D25" s="577">
        <v>116</v>
      </c>
      <c r="E25" s="577">
        <v>0</v>
      </c>
      <c r="F25" s="577">
        <v>2021</v>
      </c>
      <c r="G25" s="577">
        <v>0</v>
      </c>
      <c r="H25" s="577">
        <v>0</v>
      </c>
    </row>
    <row r="26" spans="1:8" ht="12.75">
      <c r="A26" s="9">
        <v>17</v>
      </c>
      <c r="B26" s="328" t="s">
        <v>886</v>
      </c>
      <c r="C26" s="9">
        <f>'AT-3'!F25</f>
        <v>2389</v>
      </c>
      <c r="D26" s="577">
        <v>0</v>
      </c>
      <c r="E26" s="577">
        <v>0</v>
      </c>
      <c r="F26" s="577">
        <v>0</v>
      </c>
      <c r="G26" s="577">
        <v>2192</v>
      </c>
      <c r="H26" s="577">
        <v>0</v>
      </c>
    </row>
    <row r="27" spans="1:9" ht="12.75">
      <c r="A27" s="9">
        <v>18</v>
      </c>
      <c r="B27" s="328" t="s">
        <v>887</v>
      </c>
      <c r="C27" s="9">
        <f>'AT-3'!F26</f>
        <v>2849</v>
      </c>
      <c r="D27" s="577">
        <v>1023</v>
      </c>
      <c r="E27" s="577">
        <v>0</v>
      </c>
      <c r="F27" s="577">
        <v>1826</v>
      </c>
      <c r="G27" s="577">
        <v>0</v>
      </c>
      <c r="H27" s="577">
        <v>0</v>
      </c>
      <c r="I27" t="s">
        <v>961</v>
      </c>
    </row>
    <row r="28" spans="1:8" ht="12.75">
      <c r="A28" s="9">
        <v>19</v>
      </c>
      <c r="B28" s="328" t="s">
        <v>888</v>
      </c>
      <c r="C28" s="9">
        <f>'AT-3'!F27</f>
        <v>3021</v>
      </c>
      <c r="D28" s="577">
        <v>36</v>
      </c>
      <c r="E28" s="577">
        <v>1</v>
      </c>
      <c r="F28" s="577">
        <v>2984</v>
      </c>
      <c r="G28" s="577">
        <v>0</v>
      </c>
      <c r="H28" s="577">
        <v>0</v>
      </c>
    </row>
    <row r="29" spans="1:8" ht="12.75">
      <c r="A29" s="9">
        <v>20</v>
      </c>
      <c r="B29" s="328" t="s">
        <v>889</v>
      </c>
      <c r="C29" s="9">
        <f>'AT-3'!F28</f>
        <v>1705</v>
      </c>
      <c r="D29" s="577">
        <v>354</v>
      </c>
      <c r="E29" s="577">
        <v>0</v>
      </c>
      <c r="F29" s="577">
        <v>1351</v>
      </c>
      <c r="G29" s="577">
        <v>0</v>
      </c>
      <c r="H29" s="577">
        <v>0</v>
      </c>
    </row>
    <row r="30" spans="1:8" ht="12.75">
      <c r="A30" s="9">
        <v>21</v>
      </c>
      <c r="B30" s="328" t="s">
        <v>890</v>
      </c>
      <c r="C30" s="9">
        <f>'AT-3'!F29</f>
        <v>4449</v>
      </c>
      <c r="D30" s="577">
        <v>4449</v>
      </c>
      <c r="E30" s="577">
        <v>0</v>
      </c>
      <c r="F30" s="577">
        <v>0</v>
      </c>
      <c r="G30" s="577">
        <v>0</v>
      </c>
      <c r="H30" s="577">
        <v>0</v>
      </c>
    </row>
    <row r="31" spans="1:8" ht="12.75">
      <c r="A31" s="9">
        <v>22</v>
      </c>
      <c r="B31" s="328" t="s">
        <v>891</v>
      </c>
      <c r="C31" s="9">
        <f>'AT-3'!F30</f>
        <v>1548</v>
      </c>
      <c r="D31" s="577">
        <v>23</v>
      </c>
      <c r="E31" s="577">
        <v>0</v>
      </c>
      <c r="F31" s="577">
        <v>1525</v>
      </c>
      <c r="G31" s="577">
        <v>0</v>
      </c>
      <c r="H31" s="577">
        <v>0</v>
      </c>
    </row>
    <row r="32" spans="1:8" ht="12.75">
      <c r="A32" s="9">
        <v>23</v>
      </c>
      <c r="B32" s="328" t="s">
        <v>892</v>
      </c>
      <c r="C32" s="9">
        <f>'AT-3'!F31</f>
        <v>1583</v>
      </c>
      <c r="D32" s="577">
        <v>96</v>
      </c>
      <c r="E32" s="577">
        <v>0</v>
      </c>
      <c r="F32" s="577">
        <v>1487</v>
      </c>
      <c r="G32" s="577">
        <v>0</v>
      </c>
      <c r="H32" s="577">
        <v>0</v>
      </c>
    </row>
    <row r="33" spans="1:8" ht="12.75">
      <c r="A33" s="9">
        <v>24</v>
      </c>
      <c r="B33" s="328" t="s">
        <v>893</v>
      </c>
      <c r="C33" s="9">
        <f>'AT-3'!F32</f>
        <v>5432</v>
      </c>
      <c r="D33" s="577">
        <f>C33-F33</f>
        <v>5011</v>
      </c>
      <c r="E33" s="577">
        <v>0</v>
      </c>
      <c r="F33" s="577">
        <v>421</v>
      </c>
      <c r="G33" s="577">
        <v>0</v>
      </c>
      <c r="H33" s="577">
        <v>0</v>
      </c>
    </row>
    <row r="34" spans="1:8" ht="12.75">
      <c r="A34" s="9">
        <v>25</v>
      </c>
      <c r="B34" s="328" t="s">
        <v>894</v>
      </c>
      <c r="C34" s="9">
        <f>'AT-3'!F33</f>
        <v>3208</v>
      </c>
      <c r="D34" s="577">
        <v>1047</v>
      </c>
      <c r="E34" s="577">
        <v>0</v>
      </c>
      <c r="F34" s="577">
        <v>2163</v>
      </c>
      <c r="G34" s="577">
        <v>0</v>
      </c>
      <c r="H34" s="577"/>
    </row>
    <row r="35" spans="1:8" ht="12.75">
      <c r="A35" s="9">
        <v>26</v>
      </c>
      <c r="B35" s="328" t="s">
        <v>895</v>
      </c>
      <c r="C35" s="9">
        <f>'AT-3'!F34</f>
        <v>3076</v>
      </c>
      <c r="D35" s="577">
        <v>1099</v>
      </c>
      <c r="E35" s="577">
        <v>0</v>
      </c>
      <c r="F35" s="577">
        <v>1977</v>
      </c>
      <c r="G35" s="577">
        <v>0</v>
      </c>
      <c r="H35" s="577">
        <v>0</v>
      </c>
    </row>
    <row r="36" spans="1:8" ht="12.75">
      <c r="A36" s="9">
        <v>27</v>
      </c>
      <c r="B36" s="328" t="s">
        <v>896</v>
      </c>
      <c r="C36" s="9">
        <f>'AT-3'!F35</f>
        <v>2515</v>
      </c>
      <c r="D36" s="577">
        <v>2515</v>
      </c>
      <c r="E36" s="577">
        <v>0</v>
      </c>
      <c r="F36" s="577">
        <v>0</v>
      </c>
      <c r="G36" s="577">
        <v>0</v>
      </c>
      <c r="H36" s="577">
        <v>0</v>
      </c>
    </row>
    <row r="37" spans="1:8" ht="12.75">
      <c r="A37" s="9">
        <v>28</v>
      </c>
      <c r="B37" s="328" t="s">
        <v>897</v>
      </c>
      <c r="C37" s="9">
        <f>'AT-3'!F36</f>
        <v>3436</v>
      </c>
      <c r="D37" s="577">
        <v>3436</v>
      </c>
      <c r="E37" s="577">
        <v>0</v>
      </c>
      <c r="F37" s="577">
        <v>0</v>
      </c>
      <c r="G37" s="577">
        <v>0</v>
      </c>
      <c r="H37" s="577">
        <v>0</v>
      </c>
    </row>
    <row r="38" spans="1:9" ht="12.75">
      <c r="A38" s="9">
        <v>29</v>
      </c>
      <c r="B38" s="328" t="s">
        <v>898</v>
      </c>
      <c r="C38" s="9">
        <f>'AT-3'!F37</f>
        <v>1670</v>
      </c>
      <c r="D38" s="577">
        <v>922</v>
      </c>
      <c r="E38" s="577">
        <v>0</v>
      </c>
      <c r="F38" s="577">
        <v>740</v>
      </c>
      <c r="G38" s="577">
        <v>0</v>
      </c>
      <c r="H38" s="577">
        <v>8</v>
      </c>
      <c r="I38" t="s">
        <v>963</v>
      </c>
    </row>
    <row r="39" spans="1:8" ht="12.75">
      <c r="A39" s="9">
        <v>30</v>
      </c>
      <c r="B39" s="328" t="s">
        <v>899</v>
      </c>
      <c r="C39" s="9">
        <f>'AT-3'!F38</f>
        <v>4073</v>
      </c>
      <c r="D39" s="577">
        <v>2410</v>
      </c>
      <c r="E39" s="577">
        <v>0</v>
      </c>
      <c r="F39" s="577">
        <v>1663</v>
      </c>
      <c r="G39" s="577">
        <v>0</v>
      </c>
      <c r="H39" s="577">
        <v>0</v>
      </c>
    </row>
    <row r="40" spans="1:8" ht="12.75">
      <c r="A40" s="9">
        <v>31</v>
      </c>
      <c r="B40" s="328" t="s">
        <v>900</v>
      </c>
      <c r="C40" s="9">
        <f>'AT-3'!F39</f>
        <v>2785</v>
      </c>
      <c r="D40" s="577">
        <v>2350</v>
      </c>
      <c r="E40" s="577">
        <v>0</v>
      </c>
      <c r="F40" s="577">
        <v>435</v>
      </c>
      <c r="G40" s="577">
        <v>0</v>
      </c>
      <c r="H40" s="577">
        <v>0</v>
      </c>
    </row>
    <row r="41" spans="1:8" ht="12.75">
      <c r="A41" s="9">
        <v>32</v>
      </c>
      <c r="B41" s="328" t="s">
        <v>901</v>
      </c>
      <c r="C41" s="9">
        <f>'AT-3'!F40</f>
        <v>2393</v>
      </c>
      <c r="D41" s="577">
        <v>1066</v>
      </c>
      <c r="E41" s="577">
        <v>0</v>
      </c>
      <c r="F41" s="577">
        <v>1327</v>
      </c>
      <c r="G41" s="577">
        <v>0</v>
      </c>
      <c r="H41" s="577">
        <v>0</v>
      </c>
    </row>
    <row r="42" spans="1:8" ht="12.75">
      <c r="A42" s="9">
        <v>33</v>
      </c>
      <c r="B42" s="328" t="s">
        <v>902</v>
      </c>
      <c r="C42" s="9">
        <f>'AT-3'!F41</f>
        <v>1246</v>
      </c>
      <c r="D42" s="577">
        <v>67</v>
      </c>
      <c r="E42" s="577">
        <v>0</v>
      </c>
      <c r="F42" s="577">
        <v>1179</v>
      </c>
      <c r="G42" s="577">
        <v>0</v>
      </c>
      <c r="H42" s="577">
        <v>0</v>
      </c>
    </row>
    <row r="43" spans="1:8" ht="12.75">
      <c r="A43" s="9">
        <v>34</v>
      </c>
      <c r="B43" s="328" t="s">
        <v>903</v>
      </c>
      <c r="C43" s="9">
        <f>'AT-3'!F42</f>
        <v>1110</v>
      </c>
      <c r="D43" s="577">
        <v>231</v>
      </c>
      <c r="E43" s="577">
        <v>0</v>
      </c>
      <c r="F43" s="577">
        <v>879</v>
      </c>
      <c r="G43" s="577">
        <v>0</v>
      </c>
      <c r="H43" s="577">
        <v>0</v>
      </c>
    </row>
    <row r="44" spans="1:8" ht="12.75">
      <c r="A44" s="9">
        <v>35</v>
      </c>
      <c r="B44" s="328" t="s">
        <v>904</v>
      </c>
      <c r="C44" s="9">
        <f>'AT-3'!F43</f>
        <v>2782</v>
      </c>
      <c r="D44" s="577">
        <v>1439</v>
      </c>
      <c r="E44" s="577">
        <v>0</v>
      </c>
      <c r="F44" s="577">
        <v>1443</v>
      </c>
      <c r="G44" s="577">
        <v>0</v>
      </c>
      <c r="H44" s="577">
        <v>0</v>
      </c>
    </row>
    <row r="45" spans="1:8" ht="15" customHeight="1">
      <c r="A45" s="144" t="s">
        <v>19</v>
      </c>
      <c r="B45" s="144"/>
      <c r="C45" s="144">
        <f aca="true" t="shared" si="0" ref="C45:H45">SUM(C10:C44)</f>
        <v>86780</v>
      </c>
      <c r="D45" s="144">
        <f t="shared" si="0"/>
        <v>38598</v>
      </c>
      <c r="E45" s="144">
        <f t="shared" si="0"/>
        <v>1</v>
      </c>
      <c r="F45" s="144">
        <f t="shared" si="0"/>
        <v>45663</v>
      </c>
      <c r="G45" s="144">
        <f t="shared" si="0"/>
        <v>2192</v>
      </c>
      <c r="H45" s="144">
        <f t="shared" si="0"/>
        <v>9</v>
      </c>
    </row>
    <row r="46" spans="1:8" ht="15" customHeight="1">
      <c r="A46" s="203"/>
      <c r="B46" s="203"/>
      <c r="C46" s="203"/>
      <c r="D46" s="204"/>
      <c r="E46" s="204"/>
      <c r="F46" s="204"/>
      <c r="G46" s="204"/>
      <c r="H46" s="204"/>
    </row>
    <row r="47" spans="1:8" ht="15" customHeight="1">
      <c r="A47" s="203"/>
      <c r="B47" s="203"/>
      <c r="C47" s="203"/>
      <c r="D47" s="204"/>
      <c r="E47" s="204"/>
      <c r="F47" s="204"/>
      <c r="G47" s="204"/>
      <c r="H47" s="204"/>
    </row>
    <row r="48" spans="1:9" ht="15" customHeight="1">
      <c r="A48" s="203"/>
      <c r="B48" s="203"/>
      <c r="C48" s="748" t="s">
        <v>1021</v>
      </c>
      <c r="D48" s="748"/>
      <c r="E48" s="83"/>
      <c r="F48" s="83"/>
      <c r="G48" s="748" t="s">
        <v>1024</v>
      </c>
      <c r="H48" s="748"/>
      <c r="I48" s="217"/>
    </row>
    <row r="49" spans="1:9" ht="12.75" customHeight="1">
      <c r="A49" s="203" t="s">
        <v>12</v>
      </c>
      <c r="C49" s="748" t="s">
        <v>1022</v>
      </c>
      <c r="D49" s="748"/>
      <c r="E49" s="83"/>
      <c r="F49" s="83"/>
      <c r="G49" s="748" t="s">
        <v>1025</v>
      </c>
      <c r="H49" s="748"/>
      <c r="I49" s="217"/>
    </row>
    <row r="50" spans="3:9" ht="12.75" customHeight="1">
      <c r="C50" s="735" t="s">
        <v>1023</v>
      </c>
      <c r="D50" s="735"/>
      <c r="E50" s="36"/>
      <c r="F50" s="36"/>
      <c r="G50" s="735" t="s">
        <v>1023</v>
      </c>
      <c r="H50" s="735"/>
      <c r="I50" s="217"/>
    </row>
    <row r="51" spans="4:9" ht="12.75">
      <c r="D51" s="208"/>
      <c r="E51" s="208"/>
      <c r="F51" s="208"/>
      <c r="G51" s="208"/>
      <c r="H51" s="208"/>
      <c r="I51" s="203"/>
    </row>
  </sheetData>
  <sheetProtection/>
  <mergeCells count="15">
    <mergeCell ref="C49:D49"/>
    <mergeCell ref="G49:H49"/>
    <mergeCell ref="C50:D50"/>
    <mergeCell ref="G50:H50"/>
    <mergeCell ref="N6:O6"/>
    <mergeCell ref="A7:A8"/>
    <mergeCell ref="B7:B8"/>
    <mergeCell ref="C7:C8"/>
    <mergeCell ref="F6:H6"/>
    <mergeCell ref="A2:H2"/>
    <mergeCell ref="A3:H3"/>
    <mergeCell ref="A5:H5"/>
    <mergeCell ref="D7:H7"/>
    <mergeCell ref="C48:D48"/>
    <mergeCell ref="G48:H48"/>
  </mergeCells>
  <printOptions horizontalCentered="1"/>
  <pageMargins left="0.7086614173228347" right="0.7086614173228347" top="0.37" bottom="0" header="0.31496062992125984" footer="0.31496062992125984"/>
  <pageSetup fitToHeight="1" fitToWidth="1" horizontalDpi="600" verticalDpi="600" orientation="landscape" paperSize="9" scale="7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view="pageBreakPreview" zoomScaleNormal="80" zoomScaleSheetLayoutView="100" zoomScalePageLayoutView="0" workbookViewId="0" topLeftCell="A37">
      <selection activeCell="C56" sqref="C56"/>
    </sheetView>
  </sheetViews>
  <sheetFormatPr defaultColWidth="9.140625" defaultRowHeight="12.75"/>
  <cols>
    <col min="1" max="1" width="9.28125" style="15" customWidth="1"/>
    <col min="2" max="3" width="8.57421875" style="15" customWidth="1"/>
    <col min="4" max="4" width="12.00390625" style="15" customWidth="1"/>
    <col min="5" max="5" width="8.57421875" style="15" customWidth="1"/>
    <col min="6" max="6" width="9.57421875" style="15" customWidth="1"/>
    <col min="7" max="7" width="8.57421875" style="15" customWidth="1"/>
    <col min="8" max="8" width="11.7109375" style="15" customWidth="1"/>
    <col min="9" max="15" width="8.57421875" style="15" customWidth="1"/>
    <col min="16" max="16" width="8.421875" style="15" customWidth="1"/>
    <col min="17" max="19" width="8.57421875" style="15" customWidth="1"/>
    <col min="20" max="16384" width="9.140625" style="15" customWidth="1"/>
  </cols>
  <sheetData>
    <row r="1" spans="1:19" ht="12.75">
      <c r="A1" s="15" t="s">
        <v>11</v>
      </c>
      <c r="H1" s="735"/>
      <c r="I1" s="735"/>
      <c r="R1" s="731" t="s">
        <v>56</v>
      </c>
      <c r="S1" s="731"/>
    </row>
    <row r="2" spans="1:19" s="14" customFormat="1" ht="15.75">
      <c r="A2" s="732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</row>
    <row r="3" spans="1:19" s="14" customFormat="1" ht="20.25" customHeight="1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</row>
    <row r="5" spans="1:19" s="14" customFormat="1" ht="15.75">
      <c r="A5" s="734" t="s">
        <v>657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</row>
    <row r="6" spans="1:2" ht="12.75">
      <c r="A6" s="36" t="s">
        <v>1005</v>
      </c>
      <c r="B6" s="36"/>
    </row>
    <row r="7" spans="1:19" ht="12.75">
      <c r="A7" s="736" t="s">
        <v>170</v>
      </c>
      <c r="B7" s="736"/>
      <c r="C7" s="736"/>
      <c r="D7" s="736"/>
      <c r="E7" s="736"/>
      <c r="F7" s="736"/>
      <c r="G7" s="736"/>
      <c r="H7" s="736"/>
      <c r="I7" s="736"/>
      <c r="R7" s="31"/>
      <c r="S7" s="31"/>
    </row>
    <row r="9" spans="1:12" ht="18" customHeight="1">
      <c r="A9" s="5"/>
      <c r="B9" s="709" t="s">
        <v>43</v>
      </c>
      <c r="C9" s="709"/>
      <c r="D9" s="709" t="s">
        <v>44</v>
      </c>
      <c r="E9" s="709"/>
      <c r="F9" s="709" t="s">
        <v>45</v>
      </c>
      <c r="G9" s="709"/>
      <c r="H9" s="737" t="s">
        <v>46</v>
      </c>
      <c r="I9" s="737"/>
      <c r="J9" s="709" t="s">
        <v>47</v>
      </c>
      <c r="K9" s="709"/>
      <c r="L9" s="27" t="s">
        <v>19</v>
      </c>
    </row>
    <row r="10" spans="1:12" s="69" customFormat="1" ht="13.5" customHeight="1">
      <c r="A10" s="71">
        <v>1</v>
      </c>
      <c r="B10" s="721">
        <v>2</v>
      </c>
      <c r="C10" s="721"/>
      <c r="D10" s="721">
        <v>3</v>
      </c>
      <c r="E10" s="721"/>
      <c r="F10" s="721">
        <v>4</v>
      </c>
      <c r="G10" s="721"/>
      <c r="H10" s="721">
        <v>5</v>
      </c>
      <c r="I10" s="721"/>
      <c r="J10" s="721">
        <v>6</v>
      </c>
      <c r="K10" s="721"/>
      <c r="L10" s="71">
        <v>7</v>
      </c>
    </row>
    <row r="11" spans="1:12" ht="12.75">
      <c r="A11" s="3" t="s">
        <v>48</v>
      </c>
      <c r="B11" s="710">
        <v>3840</v>
      </c>
      <c r="C11" s="710"/>
      <c r="D11" s="710">
        <v>984</v>
      </c>
      <c r="E11" s="710"/>
      <c r="F11" s="710">
        <f>6421-2159</f>
        <v>4262</v>
      </c>
      <c r="G11" s="710"/>
      <c r="H11" s="710">
        <v>95</v>
      </c>
      <c r="I11" s="710"/>
      <c r="J11" s="710">
        <v>3950</v>
      </c>
      <c r="K11" s="710"/>
      <c r="L11" s="19">
        <f>B11+D11+F11+H11+J11</f>
        <v>13131</v>
      </c>
    </row>
    <row r="12" spans="1:12" ht="12.75">
      <c r="A12" s="3" t="s">
        <v>49</v>
      </c>
      <c r="B12" s="710">
        <v>55300</v>
      </c>
      <c r="C12" s="710"/>
      <c r="D12" s="710">
        <v>17380</v>
      </c>
      <c r="E12" s="710"/>
      <c r="F12" s="710">
        <v>43991</v>
      </c>
      <c r="G12" s="710"/>
      <c r="H12" s="710">
        <v>1829</v>
      </c>
      <c r="I12" s="710"/>
      <c r="J12" s="710">
        <v>39500</v>
      </c>
      <c r="K12" s="710"/>
      <c r="L12" s="19">
        <f>B12+D12+F12+H12+J12</f>
        <v>158000</v>
      </c>
    </row>
    <row r="13" spans="1:12" ht="12.75">
      <c r="A13" s="3" t="s">
        <v>19</v>
      </c>
      <c r="B13" s="711">
        <f>B11+B12</f>
        <v>59140</v>
      </c>
      <c r="C13" s="711"/>
      <c r="D13" s="711">
        <f>D11+D12</f>
        <v>18364</v>
      </c>
      <c r="E13" s="711"/>
      <c r="F13" s="711">
        <f>F11+F12</f>
        <v>48253</v>
      </c>
      <c r="G13" s="711"/>
      <c r="H13" s="711">
        <f>H11+H12</f>
        <v>1924</v>
      </c>
      <c r="I13" s="711"/>
      <c r="J13" s="711">
        <f>J11+J12</f>
        <v>43450</v>
      </c>
      <c r="K13" s="711"/>
      <c r="L13" s="3">
        <f>B13+D13+F13+H13+J13</f>
        <v>171131</v>
      </c>
    </row>
    <row r="14" spans="1:12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2.75">
      <c r="A15" s="730" t="s">
        <v>442</v>
      </c>
      <c r="B15" s="730"/>
      <c r="C15" s="730"/>
      <c r="D15" s="730"/>
      <c r="E15" s="730"/>
      <c r="F15" s="730"/>
      <c r="G15" s="730"/>
      <c r="H15" s="12"/>
      <c r="I15" s="12"/>
      <c r="J15" s="12"/>
      <c r="K15" s="12"/>
      <c r="L15" s="12"/>
    </row>
    <row r="16" spans="1:14" ht="12.75" customHeight="1">
      <c r="A16" s="739" t="s">
        <v>179</v>
      </c>
      <c r="B16" s="740"/>
      <c r="C16" s="729" t="s">
        <v>207</v>
      </c>
      <c r="D16" s="729"/>
      <c r="E16" s="3" t="s">
        <v>19</v>
      </c>
      <c r="I16" s="12"/>
      <c r="J16" s="12"/>
      <c r="K16" s="12"/>
      <c r="L16" s="12"/>
      <c r="N16" s="16"/>
    </row>
    <row r="17" spans="1:12" ht="12.75">
      <c r="A17" s="694">
        <v>600</v>
      </c>
      <c r="B17" s="695"/>
      <c r="C17" s="694">
        <v>400</v>
      </c>
      <c r="D17" s="695"/>
      <c r="E17" s="3">
        <v>1000</v>
      </c>
      <c r="I17" s="12"/>
      <c r="J17" s="12"/>
      <c r="K17" s="12"/>
      <c r="L17" s="12"/>
    </row>
    <row r="18" spans="1:12" ht="12.75">
      <c r="A18" s="694"/>
      <c r="B18" s="695"/>
      <c r="C18" s="694"/>
      <c r="D18" s="695"/>
      <c r="E18" s="3"/>
      <c r="I18" s="12"/>
      <c r="J18" s="12"/>
      <c r="K18" s="12"/>
      <c r="L18" s="12"/>
    </row>
    <row r="19" spans="1:12" ht="12.75">
      <c r="A19" s="258"/>
      <c r="B19" s="258"/>
      <c r="C19" s="258"/>
      <c r="D19" s="258"/>
      <c r="E19" s="258"/>
      <c r="F19" s="258"/>
      <c r="G19" s="258"/>
      <c r="H19" s="12"/>
      <c r="I19" s="12"/>
      <c r="J19" s="12"/>
      <c r="K19" s="12"/>
      <c r="L19" s="12"/>
    </row>
    <row r="21" spans="1:19" ht="18.75" customHeight="1">
      <c r="A21" s="741" t="s">
        <v>171</v>
      </c>
      <c r="B21" s="741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</row>
    <row r="22" spans="1:20" ht="12.75">
      <c r="A22" s="709" t="s">
        <v>24</v>
      </c>
      <c r="B22" s="709" t="s">
        <v>50</v>
      </c>
      <c r="C22" s="709"/>
      <c r="D22" s="709"/>
      <c r="E22" s="728" t="s">
        <v>25</v>
      </c>
      <c r="F22" s="728"/>
      <c r="G22" s="728"/>
      <c r="H22" s="728"/>
      <c r="I22" s="728"/>
      <c r="J22" s="728"/>
      <c r="K22" s="728"/>
      <c r="L22" s="728"/>
      <c r="M22" s="711" t="s">
        <v>26</v>
      </c>
      <c r="N22" s="711"/>
      <c r="O22" s="711"/>
      <c r="P22" s="711"/>
      <c r="Q22" s="711"/>
      <c r="R22" s="711"/>
      <c r="S22" s="711"/>
      <c r="T22" s="711"/>
    </row>
    <row r="23" spans="1:20" ht="33.75" customHeight="1">
      <c r="A23" s="709"/>
      <c r="B23" s="709"/>
      <c r="C23" s="709"/>
      <c r="D23" s="709"/>
      <c r="E23" s="696" t="s">
        <v>134</v>
      </c>
      <c r="F23" s="698"/>
      <c r="G23" s="696" t="s">
        <v>172</v>
      </c>
      <c r="H23" s="698"/>
      <c r="I23" s="709" t="s">
        <v>51</v>
      </c>
      <c r="J23" s="709"/>
      <c r="K23" s="696" t="s">
        <v>94</v>
      </c>
      <c r="L23" s="698"/>
      <c r="M23" s="696" t="s">
        <v>95</v>
      </c>
      <c r="N23" s="698"/>
      <c r="O23" s="696" t="s">
        <v>172</v>
      </c>
      <c r="P23" s="698"/>
      <c r="Q23" s="709" t="s">
        <v>51</v>
      </c>
      <c r="R23" s="709"/>
      <c r="S23" s="709" t="s">
        <v>94</v>
      </c>
      <c r="T23" s="709"/>
    </row>
    <row r="24" spans="1:20" s="69" customFormat="1" ht="15.75" customHeight="1">
      <c r="A24" s="71">
        <v>1</v>
      </c>
      <c r="B24" s="725">
        <v>2</v>
      </c>
      <c r="C24" s="727"/>
      <c r="D24" s="726"/>
      <c r="E24" s="725">
        <v>3</v>
      </c>
      <c r="F24" s="726"/>
      <c r="G24" s="725">
        <v>4</v>
      </c>
      <c r="H24" s="726"/>
      <c r="I24" s="721">
        <v>5</v>
      </c>
      <c r="J24" s="721"/>
      <c r="K24" s="721">
        <v>6</v>
      </c>
      <c r="L24" s="721"/>
      <c r="M24" s="725">
        <v>3</v>
      </c>
      <c r="N24" s="726"/>
      <c r="O24" s="725">
        <v>4</v>
      </c>
      <c r="P24" s="726"/>
      <c r="Q24" s="721">
        <v>5</v>
      </c>
      <c r="R24" s="721"/>
      <c r="S24" s="721">
        <v>6</v>
      </c>
      <c r="T24" s="721"/>
    </row>
    <row r="25" spans="1:20" ht="27.75" customHeight="1">
      <c r="A25" s="68">
        <v>1</v>
      </c>
      <c r="B25" s="722" t="s">
        <v>503</v>
      </c>
      <c r="C25" s="723"/>
      <c r="D25" s="724"/>
      <c r="E25" s="712">
        <v>100</v>
      </c>
      <c r="F25" s="713"/>
      <c r="G25" s="694" t="s">
        <v>368</v>
      </c>
      <c r="H25" s="695"/>
      <c r="I25" s="710">
        <v>345</v>
      </c>
      <c r="J25" s="710"/>
      <c r="K25" s="710">
        <v>6.8</v>
      </c>
      <c r="L25" s="710"/>
      <c r="M25" s="712">
        <v>150</v>
      </c>
      <c r="N25" s="713"/>
      <c r="O25" s="694" t="s">
        <v>368</v>
      </c>
      <c r="P25" s="695"/>
      <c r="Q25" s="710">
        <v>517.5</v>
      </c>
      <c r="R25" s="710"/>
      <c r="S25" s="710">
        <v>10.2</v>
      </c>
      <c r="T25" s="710"/>
    </row>
    <row r="26" spans="1:20" ht="12.75">
      <c r="A26" s="68">
        <v>2</v>
      </c>
      <c r="B26" s="718" t="s">
        <v>52</v>
      </c>
      <c r="C26" s="719"/>
      <c r="D26" s="720"/>
      <c r="E26" s="712">
        <v>20</v>
      </c>
      <c r="F26" s="713"/>
      <c r="G26" s="712">
        <v>1.47</v>
      </c>
      <c r="H26" s="713"/>
      <c r="I26" s="710">
        <v>49.15</v>
      </c>
      <c r="J26" s="710"/>
      <c r="K26" s="710">
        <v>4.17</v>
      </c>
      <c r="L26" s="710"/>
      <c r="M26" s="712">
        <v>30</v>
      </c>
      <c r="N26" s="713"/>
      <c r="O26" s="712">
        <v>2.42</v>
      </c>
      <c r="P26" s="713"/>
      <c r="Q26" s="710">
        <v>78.12</v>
      </c>
      <c r="R26" s="710"/>
      <c r="S26" s="710">
        <v>6.33</v>
      </c>
      <c r="T26" s="710"/>
    </row>
    <row r="27" spans="1:20" ht="12.75">
      <c r="A27" s="68">
        <v>3</v>
      </c>
      <c r="B27" s="718" t="s">
        <v>173</v>
      </c>
      <c r="C27" s="719"/>
      <c r="D27" s="720"/>
      <c r="E27" s="712">
        <v>50</v>
      </c>
      <c r="F27" s="713"/>
      <c r="G27" s="712">
        <v>0.64</v>
      </c>
      <c r="H27" s="713"/>
      <c r="I27" s="710">
        <v>74.8</v>
      </c>
      <c r="J27" s="710"/>
      <c r="K27" s="710">
        <v>1.75</v>
      </c>
      <c r="L27" s="710"/>
      <c r="M27" s="712">
        <v>75</v>
      </c>
      <c r="N27" s="713"/>
      <c r="O27" s="712">
        <v>0.8</v>
      </c>
      <c r="P27" s="713"/>
      <c r="Q27" s="710">
        <v>81.55</v>
      </c>
      <c r="R27" s="710"/>
      <c r="S27" s="710">
        <v>3.15</v>
      </c>
      <c r="T27" s="710"/>
    </row>
    <row r="28" spans="1:20" ht="12.75">
      <c r="A28" s="68">
        <v>4</v>
      </c>
      <c r="B28" s="718" t="s">
        <v>53</v>
      </c>
      <c r="C28" s="719"/>
      <c r="D28" s="720"/>
      <c r="E28" s="712">
        <v>5</v>
      </c>
      <c r="F28" s="713"/>
      <c r="G28" s="712">
        <v>0.68</v>
      </c>
      <c r="H28" s="713"/>
      <c r="I28" s="710">
        <v>45</v>
      </c>
      <c r="J28" s="710"/>
      <c r="K28" s="710">
        <v>0</v>
      </c>
      <c r="L28" s="710"/>
      <c r="M28" s="712">
        <v>7.5</v>
      </c>
      <c r="N28" s="713"/>
      <c r="O28" s="712">
        <v>1.03</v>
      </c>
      <c r="P28" s="713"/>
      <c r="Q28" s="710">
        <v>54</v>
      </c>
      <c r="R28" s="710"/>
      <c r="S28" s="710">
        <v>0</v>
      </c>
      <c r="T28" s="710"/>
    </row>
    <row r="29" spans="1:20" ht="12.75">
      <c r="A29" s="68">
        <v>5</v>
      </c>
      <c r="B29" s="718" t="s">
        <v>54</v>
      </c>
      <c r="C29" s="719"/>
      <c r="D29" s="720"/>
      <c r="E29" s="712">
        <v>2</v>
      </c>
      <c r="F29" s="713"/>
      <c r="G29" s="712">
        <v>0.29</v>
      </c>
      <c r="H29" s="713"/>
      <c r="I29" s="710">
        <v>8</v>
      </c>
      <c r="J29" s="710"/>
      <c r="K29" s="710">
        <v>0.3</v>
      </c>
      <c r="L29" s="710"/>
      <c r="M29" s="712">
        <v>3</v>
      </c>
      <c r="N29" s="713"/>
      <c r="O29" s="712">
        <v>0.52</v>
      </c>
      <c r="P29" s="713"/>
      <c r="Q29" s="710">
        <v>14.54</v>
      </c>
      <c r="R29" s="710"/>
      <c r="S29" s="710">
        <v>0.5</v>
      </c>
      <c r="T29" s="710"/>
    </row>
    <row r="30" spans="1:20" ht="12.75">
      <c r="A30" s="68">
        <v>6</v>
      </c>
      <c r="B30" s="718" t="s">
        <v>55</v>
      </c>
      <c r="C30" s="719"/>
      <c r="D30" s="720"/>
      <c r="E30" s="712">
        <v>0</v>
      </c>
      <c r="F30" s="713"/>
      <c r="G30" s="712">
        <v>0.48</v>
      </c>
      <c r="H30" s="713"/>
      <c r="I30" s="710">
        <v>0</v>
      </c>
      <c r="J30" s="710"/>
      <c r="K30" s="710">
        <v>0</v>
      </c>
      <c r="L30" s="710"/>
      <c r="M30" s="712">
        <v>0</v>
      </c>
      <c r="N30" s="713"/>
      <c r="O30" s="712">
        <v>0.84</v>
      </c>
      <c r="P30" s="713"/>
      <c r="Q30" s="710">
        <v>0</v>
      </c>
      <c r="R30" s="710"/>
      <c r="S30" s="710">
        <v>0</v>
      </c>
      <c r="T30" s="710"/>
    </row>
    <row r="31" spans="1:20" ht="12.75">
      <c r="A31" s="68">
        <v>7</v>
      </c>
      <c r="B31" s="708" t="s">
        <v>174</v>
      </c>
      <c r="C31" s="708"/>
      <c r="D31" s="708"/>
      <c r="E31" s="710">
        <v>0</v>
      </c>
      <c r="F31" s="710"/>
      <c r="G31" s="710">
        <v>0.57</v>
      </c>
      <c r="H31" s="710"/>
      <c r="I31" s="710">
        <v>0</v>
      </c>
      <c r="J31" s="710"/>
      <c r="K31" s="710">
        <v>0</v>
      </c>
      <c r="L31" s="710"/>
      <c r="M31" s="710">
        <v>0</v>
      </c>
      <c r="N31" s="710"/>
      <c r="O31" s="710">
        <v>0.57</v>
      </c>
      <c r="P31" s="710"/>
      <c r="Q31" s="710">
        <v>0</v>
      </c>
      <c r="R31" s="710"/>
      <c r="S31" s="710">
        <v>0</v>
      </c>
      <c r="T31" s="710"/>
    </row>
    <row r="32" spans="1:20" ht="12.75">
      <c r="A32" s="68"/>
      <c r="B32" s="709" t="s">
        <v>19</v>
      </c>
      <c r="C32" s="709"/>
      <c r="D32" s="709"/>
      <c r="E32" s="711"/>
      <c r="F32" s="711"/>
      <c r="G32" s="711">
        <v>4.13</v>
      </c>
      <c r="H32" s="711"/>
      <c r="I32" s="711">
        <v>521.95</v>
      </c>
      <c r="J32" s="711"/>
      <c r="K32" s="711">
        <v>13.02</v>
      </c>
      <c r="L32" s="711"/>
      <c r="M32" s="711">
        <v>265.5</v>
      </c>
      <c r="N32" s="711"/>
      <c r="O32" s="711">
        <v>6.18</v>
      </c>
      <c r="P32" s="711"/>
      <c r="Q32" s="711">
        <v>745.71</v>
      </c>
      <c r="R32" s="711"/>
      <c r="S32" s="711">
        <v>20.18</v>
      </c>
      <c r="T32" s="711"/>
    </row>
    <row r="33" spans="1:20" ht="12.75">
      <c r="A33" s="114"/>
      <c r="B33" s="115"/>
      <c r="C33" s="115"/>
      <c r="D33" s="11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2.75" customHeight="1">
      <c r="A34" s="261" t="s">
        <v>421</v>
      </c>
      <c r="B34" s="706" t="s">
        <v>479</v>
      </c>
      <c r="C34" s="706"/>
      <c r="D34" s="706"/>
      <c r="E34" s="706"/>
      <c r="F34" s="706"/>
      <c r="G34" s="706"/>
      <c r="H34" s="706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2.75">
      <c r="A35" s="261"/>
      <c r="B35" s="115"/>
      <c r="C35" s="115"/>
      <c r="D35" s="11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s="31" customFormat="1" ht="17.25" customHeight="1">
      <c r="A36" s="2" t="s">
        <v>24</v>
      </c>
      <c r="B36" s="699" t="s">
        <v>422</v>
      </c>
      <c r="C36" s="700"/>
      <c r="D36" s="701"/>
      <c r="E36" s="696" t="s">
        <v>25</v>
      </c>
      <c r="F36" s="697"/>
      <c r="G36" s="697"/>
      <c r="H36" s="697"/>
      <c r="I36" s="697"/>
      <c r="J36" s="698"/>
      <c r="K36" s="711" t="s">
        <v>26</v>
      </c>
      <c r="L36" s="711"/>
      <c r="M36" s="711"/>
      <c r="N36" s="711"/>
      <c r="O36" s="711"/>
      <c r="P36" s="711"/>
      <c r="Q36" s="707"/>
      <c r="R36" s="707"/>
      <c r="S36" s="707"/>
      <c r="T36" s="707"/>
    </row>
    <row r="37" spans="1:20" ht="12.75">
      <c r="A37" s="4"/>
      <c r="B37" s="702"/>
      <c r="C37" s="703"/>
      <c r="D37" s="704"/>
      <c r="E37" s="694" t="s">
        <v>439</v>
      </c>
      <c r="F37" s="695"/>
      <c r="G37" s="694" t="s">
        <v>440</v>
      </c>
      <c r="H37" s="695"/>
      <c r="I37" s="694" t="s">
        <v>441</v>
      </c>
      <c r="J37" s="695"/>
      <c r="K37" s="711" t="s">
        <v>439</v>
      </c>
      <c r="L37" s="711"/>
      <c r="M37" s="711" t="s">
        <v>440</v>
      </c>
      <c r="N37" s="711"/>
      <c r="O37" s="711" t="s">
        <v>441</v>
      </c>
      <c r="P37" s="711"/>
      <c r="Q37" s="12"/>
      <c r="R37" s="12"/>
      <c r="S37" s="12"/>
      <c r="T37" s="12"/>
    </row>
    <row r="38" spans="1:20" ht="12.75">
      <c r="A38" s="68">
        <v>1</v>
      </c>
      <c r="B38" s="694" t="s">
        <v>955</v>
      </c>
      <c r="C38" s="705"/>
      <c r="D38" s="695"/>
      <c r="E38" s="694">
        <v>1</v>
      </c>
      <c r="F38" s="695"/>
      <c r="G38" s="694">
        <v>3</v>
      </c>
      <c r="H38" s="695"/>
      <c r="I38" s="742" t="s">
        <v>1015</v>
      </c>
      <c r="J38" s="743"/>
      <c r="K38" s="694">
        <v>1</v>
      </c>
      <c r="L38" s="695"/>
      <c r="M38" s="694">
        <v>3</v>
      </c>
      <c r="N38" s="695"/>
      <c r="O38" s="742" t="s">
        <v>1015</v>
      </c>
      <c r="P38" s="743"/>
      <c r="Q38" s="12"/>
      <c r="R38" s="12"/>
      <c r="S38" s="12"/>
      <c r="T38" s="12"/>
    </row>
    <row r="39" spans="1:20" ht="12.75">
      <c r="A39" s="68">
        <v>2</v>
      </c>
      <c r="B39" s="694" t="s">
        <v>956</v>
      </c>
      <c r="C39" s="705"/>
      <c r="D39" s="695"/>
      <c r="E39" s="694">
        <v>4</v>
      </c>
      <c r="F39" s="695"/>
      <c r="G39" s="694">
        <v>1</v>
      </c>
      <c r="H39" s="695"/>
      <c r="I39" s="744"/>
      <c r="J39" s="745"/>
      <c r="K39" s="694">
        <v>4</v>
      </c>
      <c r="L39" s="695"/>
      <c r="M39" s="694">
        <v>1</v>
      </c>
      <c r="N39" s="695"/>
      <c r="O39" s="744"/>
      <c r="P39" s="745"/>
      <c r="Q39" s="12"/>
      <c r="R39" s="12"/>
      <c r="S39" s="12"/>
      <c r="T39" s="12"/>
    </row>
    <row r="40" spans="1:20" ht="12.75">
      <c r="A40" s="68">
        <v>3</v>
      </c>
      <c r="B40" s="694" t="s">
        <v>957</v>
      </c>
      <c r="C40" s="705"/>
      <c r="D40" s="695"/>
      <c r="E40" s="694">
        <v>1</v>
      </c>
      <c r="F40" s="695"/>
      <c r="G40" s="694">
        <v>1</v>
      </c>
      <c r="H40" s="695"/>
      <c r="I40" s="744"/>
      <c r="J40" s="745"/>
      <c r="K40" s="694">
        <v>1</v>
      </c>
      <c r="L40" s="695"/>
      <c r="M40" s="694">
        <v>1</v>
      </c>
      <c r="N40" s="695"/>
      <c r="O40" s="744"/>
      <c r="P40" s="745"/>
      <c r="Q40" s="12"/>
      <c r="R40" s="12"/>
      <c r="S40" s="12"/>
      <c r="T40" s="12"/>
    </row>
    <row r="41" spans="1:20" ht="12.75">
      <c r="A41" s="68">
        <v>4</v>
      </c>
      <c r="B41" s="696" t="s">
        <v>958</v>
      </c>
      <c r="C41" s="697"/>
      <c r="D41" s="698"/>
      <c r="E41" s="694">
        <v>1</v>
      </c>
      <c r="F41" s="695"/>
      <c r="G41" s="694">
        <v>1</v>
      </c>
      <c r="H41" s="695"/>
      <c r="I41" s="746"/>
      <c r="J41" s="747"/>
      <c r="K41" s="694">
        <v>1</v>
      </c>
      <c r="L41" s="695"/>
      <c r="M41" s="694">
        <v>1</v>
      </c>
      <c r="N41" s="695"/>
      <c r="O41" s="746"/>
      <c r="P41" s="747"/>
      <c r="Q41" s="12"/>
      <c r="R41" s="12"/>
      <c r="S41" s="12"/>
      <c r="T41" s="12"/>
    </row>
    <row r="44" spans="1:9" ht="13.5" customHeight="1">
      <c r="A44" s="738" t="s">
        <v>184</v>
      </c>
      <c r="B44" s="738"/>
      <c r="C44" s="738"/>
      <c r="D44" s="738"/>
      <c r="E44" s="738"/>
      <c r="F44" s="738"/>
      <c r="G44" s="738"/>
      <c r="H44" s="738"/>
      <c r="I44" s="738"/>
    </row>
    <row r="45" spans="1:9" ht="13.5" customHeight="1">
      <c r="A45" s="693" t="s">
        <v>58</v>
      </c>
      <c r="B45" s="693" t="s">
        <v>25</v>
      </c>
      <c r="C45" s="693"/>
      <c r="D45" s="693"/>
      <c r="E45" s="714" t="s">
        <v>26</v>
      </c>
      <c r="F45" s="714"/>
      <c r="G45" s="714"/>
      <c r="H45" s="715" t="s">
        <v>147</v>
      </c>
      <c r="I45"/>
    </row>
    <row r="46" spans="1:9" ht="15">
      <c r="A46" s="693"/>
      <c r="B46" s="49" t="s">
        <v>175</v>
      </c>
      <c r="C46" s="72" t="s">
        <v>101</v>
      </c>
      <c r="D46" s="49" t="s">
        <v>19</v>
      </c>
      <c r="E46" s="49" t="s">
        <v>175</v>
      </c>
      <c r="F46" s="72" t="s">
        <v>101</v>
      </c>
      <c r="G46" s="49" t="s">
        <v>19</v>
      </c>
      <c r="H46" s="716"/>
      <c r="I46"/>
    </row>
    <row r="47" spans="1:9" ht="14.25">
      <c r="A47" s="30" t="s">
        <v>528</v>
      </c>
      <c r="B47" s="52">
        <v>2.48</v>
      </c>
      <c r="C47" s="51">
        <v>1.65</v>
      </c>
      <c r="D47" s="9">
        <v>4.13</v>
      </c>
      <c r="E47" s="9">
        <v>3.71</v>
      </c>
      <c r="F47" s="52">
        <v>2.47</v>
      </c>
      <c r="G47" s="52">
        <v>6.18</v>
      </c>
      <c r="H47" s="52"/>
      <c r="I47"/>
    </row>
    <row r="48" spans="1:9" ht="15">
      <c r="A48" s="30" t="s">
        <v>842</v>
      </c>
      <c r="B48" s="323">
        <v>2.65</v>
      </c>
      <c r="C48" s="323">
        <v>1.76</v>
      </c>
      <c r="D48" s="9">
        <f>B48+C48</f>
        <v>4.41</v>
      </c>
      <c r="E48" s="9">
        <v>3.97</v>
      </c>
      <c r="F48" s="52">
        <v>2.64</v>
      </c>
      <c r="G48" s="52">
        <f>E48+F48</f>
        <v>6.61</v>
      </c>
      <c r="H48" s="52" t="s">
        <v>176</v>
      </c>
      <c r="I48"/>
    </row>
    <row r="49" spans="1:20" ht="15" customHeight="1">
      <c r="A49" s="717" t="s">
        <v>236</v>
      </c>
      <c r="B49" s="717"/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</row>
    <row r="50" spans="1:9" ht="15">
      <c r="A50" s="113"/>
      <c r="B50" s="259"/>
      <c r="C50" s="259"/>
      <c r="D50" s="13"/>
      <c r="E50" s="13"/>
      <c r="F50" s="260"/>
      <c r="G50" s="260"/>
      <c r="H50" s="260"/>
      <c r="I50"/>
    </row>
    <row r="51" spans="1:9" ht="15">
      <c r="A51" s="31"/>
      <c r="B51" s="262"/>
      <c r="C51" s="262"/>
      <c r="D51" s="235"/>
      <c r="E51" s="235"/>
      <c r="F51" s="260"/>
      <c r="G51" s="260"/>
      <c r="H51" s="260"/>
      <c r="I51"/>
    </row>
    <row r="52" spans="5:20" ht="12.75">
      <c r="E52" s="748" t="s">
        <v>1021</v>
      </c>
      <c r="F52" s="748"/>
      <c r="G52" s="748"/>
      <c r="H52" s="748"/>
      <c r="I52" s="748"/>
      <c r="J52" s="83"/>
      <c r="K52" s="83"/>
      <c r="L52" s="83"/>
      <c r="M52" s="83"/>
      <c r="N52" s="83"/>
      <c r="O52" s="83"/>
      <c r="P52" s="748" t="s">
        <v>1024</v>
      </c>
      <c r="Q52" s="748"/>
      <c r="R52" s="748"/>
      <c r="S52" s="748"/>
      <c r="T52" s="748"/>
    </row>
    <row r="53" spans="5:20" ht="12.75">
      <c r="E53" s="748" t="s">
        <v>1022</v>
      </c>
      <c r="F53" s="748"/>
      <c r="G53" s="748"/>
      <c r="H53" s="748"/>
      <c r="I53" s="748"/>
      <c r="J53" s="83"/>
      <c r="K53" s="83"/>
      <c r="L53" s="83"/>
      <c r="M53" s="83"/>
      <c r="N53" s="83"/>
      <c r="O53" s="83"/>
      <c r="P53" s="748" t="s">
        <v>1025</v>
      </c>
      <c r="Q53" s="748"/>
      <c r="R53" s="748"/>
      <c r="S53" s="748"/>
      <c r="T53" s="748"/>
    </row>
    <row r="54" spans="6:20" ht="12.75">
      <c r="F54" s="735" t="s">
        <v>1023</v>
      </c>
      <c r="G54" s="735"/>
      <c r="H54" s="735"/>
      <c r="I54" s="1"/>
      <c r="Q54" s="735" t="s">
        <v>1023</v>
      </c>
      <c r="R54" s="735"/>
      <c r="S54" s="735"/>
      <c r="T54" s="1"/>
    </row>
  </sheetData>
  <sheetProtection/>
  <mergeCells count="178">
    <mergeCell ref="E52:I52"/>
    <mergeCell ref="P52:T52"/>
    <mergeCell ref="E53:I53"/>
    <mergeCell ref="P53:T53"/>
    <mergeCell ref="F54:H54"/>
    <mergeCell ref="Q54:S54"/>
    <mergeCell ref="M40:N40"/>
    <mergeCell ref="M38:N38"/>
    <mergeCell ref="E38:F38"/>
    <mergeCell ref="G38:H38"/>
    <mergeCell ref="I38:J41"/>
    <mergeCell ref="E41:F41"/>
    <mergeCell ref="M39:N39"/>
    <mergeCell ref="E39:F39"/>
    <mergeCell ref="O38:P41"/>
    <mergeCell ref="G40:H40"/>
    <mergeCell ref="K41:L41"/>
    <mergeCell ref="K38:L38"/>
    <mergeCell ref="S32:T32"/>
    <mergeCell ref="M31:N31"/>
    <mergeCell ref="S31:T31"/>
    <mergeCell ref="Q32:R32"/>
    <mergeCell ref="M41:N41"/>
    <mergeCell ref="K39:L39"/>
    <mergeCell ref="O37:P37"/>
    <mergeCell ref="Q30:R30"/>
    <mergeCell ref="M28:N28"/>
    <mergeCell ref="K36:P36"/>
    <mergeCell ref="M30:N30"/>
    <mergeCell ref="O30:P30"/>
    <mergeCell ref="O29:P29"/>
    <mergeCell ref="K31:L31"/>
    <mergeCell ref="O32:P32"/>
    <mergeCell ref="I32:J32"/>
    <mergeCell ref="M29:N29"/>
    <mergeCell ref="I31:J31"/>
    <mergeCell ref="I29:J29"/>
    <mergeCell ref="K28:L28"/>
    <mergeCell ref="M37:N37"/>
    <mergeCell ref="O31:P31"/>
    <mergeCell ref="O28:P28"/>
    <mergeCell ref="M26:N26"/>
    <mergeCell ref="M27:N27"/>
    <mergeCell ref="I28:J28"/>
    <mergeCell ref="K30:L30"/>
    <mergeCell ref="S29:T29"/>
    <mergeCell ref="S28:T28"/>
    <mergeCell ref="S24:T24"/>
    <mergeCell ref="Q23:R23"/>
    <mergeCell ref="O23:P23"/>
    <mergeCell ref="Q25:R25"/>
    <mergeCell ref="Q28:R28"/>
    <mergeCell ref="Q27:R27"/>
    <mergeCell ref="Q29:R29"/>
    <mergeCell ref="O26:P26"/>
    <mergeCell ref="M22:T22"/>
    <mergeCell ref="K26:L26"/>
    <mergeCell ref="S27:T27"/>
    <mergeCell ref="O25:P25"/>
    <mergeCell ref="K25:L25"/>
    <mergeCell ref="S25:T25"/>
    <mergeCell ref="M25:N25"/>
    <mergeCell ref="M24:N24"/>
    <mergeCell ref="O24:P24"/>
    <mergeCell ref="O27:P27"/>
    <mergeCell ref="M23:N23"/>
    <mergeCell ref="K23:L23"/>
    <mergeCell ref="S26:T26"/>
    <mergeCell ref="Q26:R26"/>
    <mergeCell ref="Q24:R24"/>
    <mergeCell ref="K24:L24"/>
    <mergeCell ref="B12:C12"/>
    <mergeCell ref="H13:I13"/>
    <mergeCell ref="H12:I12"/>
    <mergeCell ref="F12:G12"/>
    <mergeCell ref="D12:E12"/>
    <mergeCell ref="A22:A23"/>
    <mergeCell ref="G23:H23"/>
    <mergeCell ref="E37:F37"/>
    <mergeCell ref="A44:I44"/>
    <mergeCell ref="A16:B16"/>
    <mergeCell ref="A17:B17"/>
    <mergeCell ref="C17:D17"/>
    <mergeCell ref="C18:D18"/>
    <mergeCell ref="B29:D29"/>
    <mergeCell ref="E29:F29"/>
    <mergeCell ref="A21:S21"/>
    <mergeCell ref="S23:T23"/>
    <mergeCell ref="R1:S1"/>
    <mergeCell ref="A2:S2"/>
    <mergeCell ref="A3:S3"/>
    <mergeCell ref="A5:S5"/>
    <mergeCell ref="B9:C9"/>
    <mergeCell ref="F9:G9"/>
    <mergeCell ref="H1:I1"/>
    <mergeCell ref="A7:I7"/>
    <mergeCell ref="D9:E9"/>
    <mergeCell ref="H9:I9"/>
    <mergeCell ref="D10:E10"/>
    <mergeCell ref="F10:G10"/>
    <mergeCell ref="H10:I10"/>
    <mergeCell ref="B22:D23"/>
    <mergeCell ref="C16:D16"/>
    <mergeCell ref="B10:C10"/>
    <mergeCell ref="D11:E11"/>
    <mergeCell ref="F13:G13"/>
    <mergeCell ref="A15:G15"/>
    <mergeCell ref="B13:C13"/>
    <mergeCell ref="I23:J23"/>
    <mergeCell ref="J10:K10"/>
    <mergeCell ref="I30:J30"/>
    <mergeCell ref="K29:L29"/>
    <mergeCell ref="J9:K9"/>
    <mergeCell ref="K27:L27"/>
    <mergeCell ref="J12:K12"/>
    <mergeCell ref="J13:K13"/>
    <mergeCell ref="E22:L22"/>
    <mergeCell ref="J11:K11"/>
    <mergeCell ref="B30:D30"/>
    <mergeCell ref="G30:H30"/>
    <mergeCell ref="E28:F28"/>
    <mergeCell ref="G28:H28"/>
    <mergeCell ref="E23:F23"/>
    <mergeCell ref="E26:F26"/>
    <mergeCell ref="G26:H26"/>
    <mergeCell ref="E27:F27"/>
    <mergeCell ref="B27:D27"/>
    <mergeCell ref="G27:H27"/>
    <mergeCell ref="B24:D24"/>
    <mergeCell ref="G29:H29"/>
    <mergeCell ref="G24:H24"/>
    <mergeCell ref="B11:C11"/>
    <mergeCell ref="A18:B18"/>
    <mergeCell ref="E25:F25"/>
    <mergeCell ref="D13:E13"/>
    <mergeCell ref="F11:G11"/>
    <mergeCell ref="H11:I11"/>
    <mergeCell ref="G25:H25"/>
    <mergeCell ref="A49:T49"/>
    <mergeCell ref="E31:F31"/>
    <mergeCell ref="B28:D28"/>
    <mergeCell ref="I26:J26"/>
    <mergeCell ref="I24:J24"/>
    <mergeCell ref="I27:J27"/>
    <mergeCell ref="B25:D25"/>
    <mergeCell ref="E24:F24"/>
    <mergeCell ref="B26:D26"/>
    <mergeCell ref="I25:J25"/>
    <mergeCell ref="S30:T30"/>
    <mergeCell ref="K32:L32"/>
    <mergeCell ref="E30:F30"/>
    <mergeCell ref="Q36:R36"/>
    <mergeCell ref="A45:A46"/>
    <mergeCell ref="E45:G45"/>
    <mergeCell ref="E32:F32"/>
    <mergeCell ref="H45:H46"/>
    <mergeCell ref="G31:H31"/>
    <mergeCell ref="K37:L37"/>
    <mergeCell ref="B34:H34"/>
    <mergeCell ref="K40:L40"/>
    <mergeCell ref="S36:T36"/>
    <mergeCell ref="B31:D31"/>
    <mergeCell ref="G39:H39"/>
    <mergeCell ref="B38:D38"/>
    <mergeCell ref="B32:D32"/>
    <mergeCell ref="Q31:R31"/>
    <mergeCell ref="M32:N32"/>
    <mergeCell ref="G32:H32"/>
    <mergeCell ref="B45:D45"/>
    <mergeCell ref="E40:F40"/>
    <mergeCell ref="E36:J36"/>
    <mergeCell ref="B36:D37"/>
    <mergeCell ref="G37:H37"/>
    <mergeCell ref="B39:D39"/>
    <mergeCell ref="B40:D40"/>
    <mergeCell ref="I37:J37"/>
    <mergeCell ref="B41:D41"/>
    <mergeCell ref="G41:H41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90" zoomScaleSheetLayoutView="90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7" sqref="C47:N49"/>
    </sheetView>
  </sheetViews>
  <sheetFormatPr defaultColWidth="9.140625" defaultRowHeight="12.75"/>
  <cols>
    <col min="1" max="1" width="6.57421875" style="0" customWidth="1"/>
    <col min="2" max="2" width="12.140625" style="0" customWidth="1"/>
    <col min="3" max="3" width="16.7109375" style="0" customWidth="1"/>
    <col min="4" max="4" width="9.421875" style="0" customWidth="1"/>
    <col min="5" max="5" width="9.00390625" style="0" customWidth="1"/>
    <col min="6" max="6" width="11.57421875" style="0" customWidth="1"/>
    <col min="7" max="8" width="10.421875" style="0" customWidth="1"/>
    <col min="9" max="10" width="10.421875" style="286" customWidth="1"/>
    <col min="11" max="11" width="10.57421875" style="0" customWidth="1"/>
    <col min="12" max="12" width="10.421875" style="0" customWidth="1"/>
    <col min="13" max="13" width="11.57421875" style="0" customWidth="1"/>
    <col min="14" max="14" width="13.00390625" style="0" customWidth="1"/>
  </cols>
  <sheetData>
    <row r="1" spans="1:14" ht="18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N1" s="236" t="s">
        <v>535</v>
      </c>
    </row>
    <row r="2" spans="1:11" ht="21">
      <c r="A2" s="802" t="s">
        <v>656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0" ht="15">
      <c r="A3" s="196"/>
      <c r="B3" s="196"/>
      <c r="C3" s="196"/>
      <c r="D3" s="196"/>
      <c r="E3" s="196"/>
      <c r="F3" s="196"/>
      <c r="G3" s="196"/>
      <c r="H3" s="196"/>
      <c r="I3" s="284"/>
      <c r="J3" s="284"/>
    </row>
    <row r="4" spans="1:10" ht="18">
      <c r="A4" s="801" t="s">
        <v>534</v>
      </c>
      <c r="B4" s="801"/>
      <c r="C4" s="801"/>
      <c r="D4" s="801"/>
      <c r="E4" s="801"/>
      <c r="F4" s="801"/>
      <c r="G4" s="801"/>
      <c r="H4" s="801"/>
      <c r="I4" s="307"/>
      <c r="J4" s="307"/>
    </row>
    <row r="5" spans="1:12" ht="15">
      <c r="A5" s="208" t="s">
        <v>1020</v>
      </c>
      <c r="B5" s="208"/>
      <c r="C5" s="209"/>
      <c r="D5" s="197"/>
      <c r="E5" s="197"/>
      <c r="F5" s="197"/>
      <c r="G5" s="197"/>
      <c r="H5" s="196"/>
      <c r="I5" s="284"/>
      <c r="J5" s="284"/>
      <c r="L5" s="16" t="s">
        <v>820</v>
      </c>
    </row>
    <row r="6" spans="1:14" ht="28.5" customHeight="1">
      <c r="A6" s="915" t="s">
        <v>2</v>
      </c>
      <c r="B6" s="915" t="s">
        <v>37</v>
      </c>
      <c r="C6" s="709" t="s">
        <v>414</v>
      </c>
      <c r="D6" s="697" t="s">
        <v>467</v>
      </c>
      <c r="E6" s="697"/>
      <c r="F6" s="697"/>
      <c r="G6" s="697"/>
      <c r="H6" s="698"/>
      <c r="I6" s="950" t="s">
        <v>561</v>
      </c>
      <c r="J6" s="950" t="s">
        <v>562</v>
      </c>
      <c r="K6" s="917" t="s">
        <v>514</v>
      </c>
      <c r="L6" s="917"/>
      <c r="M6" s="917"/>
      <c r="N6" s="917"/>
    </row>
    <row r="7" spans="1:14" ht="39" customHeight="1">
      <c r="A7" s="916"/>
      <c r="B7" s="916"/>
      <c r="C7" s="709"/>
      <c r="D7" s="5" t="s">
        <v>466</v>
      </c>
      <c r="E7" s="5" t="s">
        <v>415</v>
      </c>
      <c r="F7" s="68" t="s">
        <v>416</v>
      </c>
      <c r="G7" s="5" t="s">
        <v>417</v>
      </c>
      <c r="H7" s="5" t="s">
        <v>47</v>
      </c>
      <c r="I7" s="950"/>
      <c r="J7" s="950"/>
      <c r="K7" s="229" t="s">
        <v>418</v>
      </c>
      <c r="L7" s="27" t="s">
        <v>515</v>
      </c>
      <c r="M7" s="5" t="s">
        <v>419</v>
      </c>
      <c r="N7" s="27" t="s">
        <v>420</v>
      </c>
    </row>
    <row r="8" spans="1:14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  <c r="H8" s="200" t="s">
        <v>279</v>
      </c>
      <c r="I8" s="308" t="s">
        <v>298</v>
      </c>
      <c r="J8" s="308" t="s">
        <v>299</v>
      </c>
      <c r="K8" s="200" t="s">
        <v>300</v>
      </c>
      <c r="L8" s="200" t="s">
        <v>328</v>
      </c>
      <c r="M8" s="200" t="s">
        <v>329</v>
      </c>
      <c r="N8" s="200" t="s">
        <v>330</v>
      </c>
    </row>
    <row r="9" spans="1:14" ht="15">
      <c r="A9" s="289">
        <v>1</v>
      </c>
      <c r="B9" s="328" t="s">
        <v>870</v>
      </c>
      <c r="C9" s="548">
        <f>'AT-3'!F9</f>
        <v>4538</v>
      </c>
      <c r="D9" s="548">
        <v>1205</v>
      </c>
      <c r="E9" s="548">
        <v>1110</v>
      </c>
      <c r="F9" s="548">
        <v>679</v>
      </c>
      <c r="G9" s="548">
        <v>85</v>
      </c>
      <c r="H9" s="548">
        <v>1440</v>
      </c>
      <c r="I9" s="549">
        <v>4538</v>
      </c>
      <c r="J9" s="549">
        <v>4538</v>
      </c>
      <c r="K9" s="549">
        <v>4538</v>
      </c>
      <c r="L9" s="549">
        <v>2276</v>
      </c>
      <c r="M9" s="549">
        <v>1089</v>
      </c>
      <c r="N9" s="549">
        <v>4538</v>
      </c>
    </row>
    <row r="10" spans="1:14" ht="15">
      <c r="A10" s="289">
        <v>2</v>
      </c>
      <c r="B10" s="328" t="s">
        <v>871</v>
      </c>
      <c r="C10" s="548">
        <f>'AT-3'!F10</f>
        <v>1430</v>
      </c>
      <c r="D10" s="548">
        <v>72</v>
      </c>
      <c r="E10" s="548">
        <v>142</v>
      </c>
      <c r="F10" s="548">
        <v>438</v>
      </c>
      <c r="G10" s="548">
        <v>438</v>
      </c>
      <c r="H10" s="548">
        <v>346</v>
      </c>
      <c r="I10" s="549">
        <v>1430</v>
      </c>
      <c r="J10" s="549">
        <v>1430</v>
      </c>
      <c r="K10" s="549">
        <v>1430</v>
      </c>
      <c r="L10" s="549">
        <v>932</v>
      </c>
      <c r="M10" s="549">
        <v>358</v>
      </c>
      <c r="N10" s="549">
        <v>1430</v>
      </c>
    </row>
    <row r="11" spans="1:14" ht="15">
      <c r="A11" s="289">
        <v>3</v>
      </c>
      <c r="B11" s="328" t="s">
        <v>872</v>
      </c>
      <c r="C11" s="548">
        <f>'AT-3'!F11</f>
        <v>2401</v>
      </c>
      <c r="D11" s="548">
        <v>1279</v>
      </c>
      <c r="E11" s="548">
        <v>997</v>
      </c>
      <c r="F11" s="548">
        <v>109</v>
      </c>
      <c r="G11" s="548">
        <v>16</v>
      </c>
      <c r="H11" s="548">
        <v>0</v>
      </c>
      <c r="I11" s="549">
        <v>2401</v>
      </c>
      <c r="J11" s="549">
        <v>2401</v>
      </c>
      <c r="K11" s="548">
        <v>2401</v>
      </c>
      <c r="L11" s="548">
        <v>1108</v>
      </c>
      <c r="M11" s="548">
        <v>1208</v>
      </c>
      <c r="N11" s="548">
        <v>2401</v>
      </c>
    </row>
    <row r="12" spans="1:14" ht="15">
      <c r="A12" s="289">
        <v>4</v>
      </c>
      <c r="B12" s="328" t="s">
        <v>873</v>
      </c>
      <c r="C12" s="548">
        <f>'AT-3'!F12</f>
        <v>2981</v>
      </c>
      <c r="D12" s="548">
        <v>1515</v>
      </c>
      <c r="E12" s="548">
        <v>761</v>
      </c>
      <c r="F12" s="548">
        <v>619</v>
      </c>
      <c r="G12" s="548">
        <v>0</v>
      </c>
      <c r="H12" s="548">
        <v>86</v>
      </c>
      <c r="I12" s="549">
        <v>2981</v>
      </c>
      <c r="J12" s="549">
        <v>2981</v>
      </c>
      <c r="K12" s="548">
        <v>2981</v>
      </c>
      <c r="L12" s="548">
        <v>736</v>
      </c>
      <c r="M12" s="548">
        <v>203</v>
      </c>
      <c r="N12" s="548">
        <v>2981</v>
      </c>
    </row>
    <row r="13" spans="1:14" ht="15">
      <c r="A13" s="289">
        <v>5</v>
      </c>
      <c r="B13" s="328" t="s">
        <v>874</v>
      </c>
      <c r="C13" s="548">
        <f>'AT-3'!F13</f>
        <v>3224</v>
      </c>
      <c r="D13" s="548">
        <v>93</v>
      </c>
      <c r="E13" s="548">
        <v>464</v>
      </c>
      <c r="F13" s="548">
        <v>2164</v>
      </c>
      <c r="G13" s="548">
        <v>371</v>
      </c>
      <c r="H13" s="548">
        <v>132</v>
      </c>
      <c r="I13" s="549">
        <v>3224</v>
      </c>
      <c r="J13" s="549">
        <v>3224</v>
      </c>
      <c r="K13" s="549">
        <v>3224</v>
      </c>
      <c r="L13" s="549">
        <v>1702</v>
      </c>
      <c r="M13" s="549">
        <v>859</v>
      </c>
      <c r="N13" s="549">
        <v>3224</v>
      </c>
    </row>
    <row r="14" spans="1:14" ht="15">
      <c r="A14" s="289">
        <v>6</v>
      </c>
      <c r="B14" s="328" t="s">
        <v>875</v>
      </c>
      <c r="C14" s="548">
        <f>'AT-3'!F14</f>
        <v>1132</v>
      </c>
      <c r="D14" s="548">
        <v>302</v>
      </c>
      <c r="E14" s="548">
        <v>485</v>
      </c>
      <c r="F14" s="548">
        <v>345</v>
      </c>
      <c r="G14" s="548">
        <v>0</v>
      </c>
      <c r="H14" s="548">
        <v>0</v>
      </c>
      <c r="I14" s="549">
        <v>329</v>
      </c>
      <c r="J14" s="549">
        <v>1132</v>
      </c>
      <c r="K14" s="548">
        <v>1132</v>
      </c>
      <c r="L14" s="548">
        <v>425</v>
      </c>
      <c r="M14" s="548">
        <v>186</v>
      </c>
      <c r="N14" s="548">
        <v>1132</v>
      </c>
    </row>
    <row r="15" spans="1:14" ht="15">
      <c r="A15" s="289">
        <v>7</v>
      </c>
      <c r="B15" s="328" t="s">
        <v>876</v>
      </c>
      <c r="C15" s="548">
        <f>'AT-3'!F15</f>
        <v>2013</v>
      </c>
      <c r="D15" s="548">
        <v>705</v>
      </c>
      <c r="E15" s="548">
        <v>598</v>
      </c>
      <c r="F15" s="548">
        <v>0</v>
      </c>
      <c r="G15" s="548">
        <v>0</v>
      </c>
      <c r="H15" s="548">
        <v>710</v>
      </c>
      <c r="I15" s="549">
        <v>2013</v>
      </c>
      <c r="J15" s="549">
        <v>2013</v>
      </c>
      <c r="K15" s="548">
        <v>2013</v>
      </c>
      <c r="L15" s="548">
        <v>998</v>
      </c>
      <c r="M15" s="548">
        <v>828</v>
      </c>
      <c r="N15" s="548">
        <v>2013</v>
      </c>
    </row>
    <row r="16" spans="1:14" ht="15">
      <c r="A16" s="289">
        <v>8</v>
      </c>
      <c r="B16" s="328" t="s">
        <v>877</v>
      </c>
      <c r="C16" s="548">
        <f>'AT-3'!F16</f>
        <v>2035</v>
      </c>
      <c r="D16" s="548">
        <v>232</v>
      </c>
      <c r="E16" s="548">
        <v>562</v>
      </c>
      <c r="F16" s="548">
        <v>784</v>
      </c>
      <c r="G16" s="548">
        <v>257</v>
      </c>
      <c r="H16" s="548">
        <v>200</v>
      </c>
      <c r="I16" s="549">
        <v>2035</v>
      </c>
      <c r="J16" s="549">
        <v>2035</v>
      </c>
      <c r="K16" s="548">
        <v>2035</v>
      </c>
      <c r="L16" s="548">
        <v>229</v>
      </c>
      <c r="M16" s="548">
        <v>185</v>
      </c>
      <c r="N16" s="548">
        <v>2035</v>
      </c>
    </row>
    <row r="17" spans="1:14" ht="15">
      <c r="A17" s="289">
        <v>9</v>
      </c>
      <c r="B17" s="328" t="s">
        <v>878</v>
      </c>
      <c r="C17" s="548">
        <f>'AT-3'!F17</f>
        <v>1682</v>
      </c>
      <c r="D17" s="546">
        <v>315</v>
      </c>
      <c r="E17" s="546">
        <v>1367</v>
      </c>
      <c r="F17" s="546">
        <v>0</v>
      </c>
      <c r="G17" s="546">
        <v>0</v>
      </c>
      <c r="H17" s="546">
        <v>0</v>
      </c>
      <c r="I17" s="547">
        <v>1682</v>
      </c>
      <c r="J17" s="547">
        <v>1682</v>
      </c>
      <c r="K17" s="547">
        <v>1682</v>
      </c>
      <c r="L17" s="547">
        <v>888</v>
      </c>
      <c r="M17" s="547">
        <v>598</v>
      </c>
      <c r="N17" s="547">
        <v>1682</v>
      </c>
    </row>
    <row r="18" spans="1:14" ht="15">
      <c r="A18" s="289">
        <v>10</v>
      </c>
      <c r="B18" s="328" t="s">
        <v>879</v>
      </c>
      <c r="C18" s="548">
        <f>'AT-3'!F18</f>
        <v>1799</v>
      </c>
      <c r="D18" s="329">
        <v>317</v>
      </c>
      <c r="E18" s="329">
        <v>279</v>
      </c>
      <c r="F18" s="329">
        <v>1182</v>
      </c>
      <c r="G18" s="329">
        <v>18</v>
      </c>
      <c r="H18" s="329">
        <v>3</v>
      </c>
      <c r="I18" s="381">
        <v>1182</v>
      </c>
      <c r="J18" s="381">
        <v>1799</v>
      </c>
      <c r="K18" s="329">
        <v>1076</v>
      </c>
      <c r="L18" s="329">
        <v>176</v>
      </c>
      <c r="M18" s="329">
        <v>151</v>
      </c>
      <c r="N18" s="329">
        <v>395</v>
      </c>
    </row>
    <row r="19" spans="1:14" ht="15">
      <c r="A19" s="289">
        <v>11</v>
      </c>
      <c r="B19" s="328" t="s">
        <v>880</v>
      </c>
      <c r="C19" s="548">
        <f>'AT-3'!F19</f>
        <v>1374</v>
      </c>
      <c r="D19" s="329">
        <v>205</v>
      </c>
      <c r="E19" s="329">
        <v>444</v>
      </c>
      <c r="F19" s="329">
        <v>692</v>
      </c>
      <c r="G19" s="329">
        <v>33</v>
      </c>
      <c r="H19" s="329">
        <v>0</v>
      </c>
      <c r="I19" s="381">
        <v>1374</v>
      </c>
      <c r="J19" s="381">
        <v>1374</v>
      </c>
      <c r="K19" s="381">
        <v>1374</v>
      </c>
      <c r="L19" s="381">
        <v>635</v>
      </c>
      <c r="M19" s="381">
        <v>398</v>
      </c>
      <c r="N19" s="381">
        <v>1374</v>
      </c>
    </row>
    <row r="20" spans="1:14" ht="15">
      <c r="A20" s="289">
        <v>12</v>
      </c>
      <c r="B20" s="328" t="s">
        <v>881</v>
      </c>
      <c r="C20" s="548">
        <f>'AT-3'!F20</f>
        <v>1032</v>
      </c>
      <c r="D20" s="329">
        <v>170</v>
      </c>
      <c r="E20" s="329">
        <v>181</v>
      </c>
      <c r="F20" s="329">
        <v>243</v>
      </c>
      <c r="G20" s="329">
        <v>33</v>
      </c>
      <c r="H20" s="329">
        <v>405</v>
      </c>
      <c r="I20" s="381">
        <v>1032</v>
      </c>
      <c r="J20" s="381">
        <v>1032</v>
      </c>
      <c r="K20" s="329">
        <v>1032</v>
      </c>
      <c r="L20" s="329">
        <v>488</v>
      </c>
      <c r="M20" s="329">
        <v>265</v>
      </c>
      <c r="N20" s="329">
        <v>1032</v>
      </c>
    </row>
    <row r="21" spans="1:14" ht="15">
      <c r="A21" s="289">
        <v>13</v>
      </c>
      <c r="B21" s="328" t="s">
        <v>882</v>
      </c>
      <c r="C21" s="548">
        <f>'AT-3'!F21</f>
        <v>2748</v>
      </c>
      <c r="D21" s="329">
        <v>1596</v>
      </c>
      <c r="E21" s="329">
        <v>1152</v>
      </c>
      <c r="F21" s="329">
        <v>0</v>
      </c>
      <c r="G21" s="329">
        <v>0</v>
      </c>
      <c r="H21" s="329">
        <v>0</v>
      </c>
      <c r="I21" s="381">
        <v>678</v>
      </c>
      <c r="J21" s="381">
        <v>2748</v>
      </c>
      <c r="K21" s="329">
        <v>2748</v>
      </c>
      <c r="L21" s="329">
        <v>678</v>
      </c>
      <c r="M21" s="329">
        <v>829</v>
      </c>
      <c r="N21" s="329">
        <v>2748</v>
      </c>
    </row>
    <row r="22" spans="1:14" ht="15">
      <c r="A22" s="289">
        <v>14</v>
      </c>
      <c r="B22" s="328" t="s">
        <v>883</v>
      </c>
      <c r="C22" s="548">
        <f>'AT-3'!F22</f>
        <v>1923</v>
      </c>
      <c r="D22" s="329">
        <v>315</v>
      </c>
      <c r="E22" s="329">
        <v>1065</v>
      </c>
      <c r="F22" s="329">
        <v>483</v>
      </c>
      <c r="G22" s="329">
        <v>27</v>
      </c>
      <c r="H22" s="329">
        <v>8</v>
      </c>
      <c r="I22" s="381">
        <v>1923</v>
      </c>
      <c r="J22" s="381">
        <v>1923</v>
      </c>
      <c r="K22" s="381">
        <v>1923</v>
      </c>
      <c r="L22" s="381">
        <v>995</v>
      </c>
      <c r="M22" s="381">
        <v>402</v>
      </c>
      <c r="N22" s="381">
        <v>1923</v>
      </c>
    </row>
    <row r="23" spans="1:14" ht="15">
      <c r="A23" s="289">
        <v>15</v>
      </c>
      <c r="B23" s="328" t="s">
        <v>884</v>
      </c>
      <c r="C23" s="548">
        <f>'AT-3'!F23</f>
        <v>3061</v>
      </c>
      <c r="D23" s="329">
        <v>3061</v>
      </c>
      <c r="E23" s="329">
        <v>0</v>
      </c>
      <c r="F23" s="329">
        <v>0</v>
      </c>
      <c r="G23" s="329">
        <v>0</v>
      </c>
      <c r="H23" s="329">
        <v>0</v>
      </c>
      <c r="I23" s="381">
        <v>3061</v>
      </c>
      <c r="J23" s="381">
        <v>3061</v>
      </c>
      <c r="K23" s="381">
        <v>3061</v>
      </c>
      <c r="L23" s="381">
        <v>1506</v>
      </c>
      <c r="M23" s="381">
        <v>801</v>
      </c>
      <c r="N23" s="381">
        <v>3061</v>
      </c>
    </row>
    <row r="24" spans="1:14" ht="15">
      <c r="A24" s="289">
        <v>16</v>
      </c>
      <c r="B24" s="328" t="s">
        <v>885</v>
      </c>
      <c r="C24" s="548">
        <f>'AT-3'!F24</f>
        <v>2137</v>
      </c>
      <c r="D24" s="329">
        <v>1496</v>
      </c>
      <c r="E24" s="329">
        <v>641</v>
      </c>
      <c r="F24" s="329">
        <v>0</v>
      </c>
      <c r="G24" s="329">
        <v>0</v>
      </c>
      <c r="H24" s="329">
        <v>0</v>
      </c>
      <c r="I24" s="381">
        <v>2137</v>
      </c>
      <c r="J24" s="381">
        <v>2137</v>
      </c>
      <c r="K24" s="329">
        <v>2137</v>
      </c>
      <c r="L24" s="329">
        <v>998</v>
      </c>
      <c r="M24" s="329">
        <v>388</v>
      </c>
      <c r="N24" s="329">
        <v>2137</v>
      </c>
    </row>
    <row r="25" spans="1:14" ht="15">
      <c r="A25" s="289">
        <v>17</v>
      </c>
      <c r="B25" s="328" t="s">
        <v>886</v>
      </c>
      <c r="C25" s="548">
        <f>'AT-3'!F25</f>
        <v>2389</v>
      </c>
      <c r="D25" s="9">
        <v>0</v>
      </c>
      <c r="E25" s="9">
        <v>2389</v>
      </c>
      <c r="F25" s="9">
        <v>0</v>
      </c>
      <c r="G25" s="9">
        <v>0</v>
      </c>
      <c r="H25" s="9">
        <v>0</v>
      </c>
      <c r="I25" s="201">
        <v>2192</v>
      </c>
      <c r="J25" s="201">
        <v>2192</v>
      </c>
      <c r="K25" s="201">
        <v>2192</v>
      </c>
      <c r="L25" s="201">
        <v>1035</v>
      </c>
      <c r="M25" s="201">
        <v>409</v>
      </c>
      <c r="N25" s="201">
        <v>2192</v>
      </c>
    </row>
    <row r="26" spans="1:14" ht="15">
      <c r="A26" s="289">
        <v>18</v>
      </c>
      <c r="B26" s="328" t="s">
        <v>887</v>
      </c>
      <c r="C26" s="548">
        <f>'AT-3'!F26</f>
        <v>2849</v>
      </c>
      <c r="D26" s="9">
        <v>2005</v>
      </c>
      <c r="E26" s="9">
        <v>691</v>
      </c>
      <c r="F26" s="9">
        <v>286</v>
      </c>
      <c r="G26" s="9">
        <v>0</v>
      </c>
      <c r="H26" s="9">
        <v>0</v>
      </c>
      <c r="I26" s="201">
        <v>2849</v>
      </c>
      <c r="J26" s="201">
        <v>2849</v>
      </c>
      <c r="K26" s="9">
        <v>2849</v>
      </c>
      <c r="L26" s="9">
        <v>1426</v>
      </c>
      <c r="M26" s="9">
        <v>57</v>
      </c>
      <c r="N26" s="9">
        <v>2849</v>
      </c>
    </row>
    <row r="27" spans="1:14" ht="15">
      <c r="A27" s="289">
        <v>19</v>
      </c>
      <c r="B27" s="328" t="s">
        <v>888</v>
      </c>
      <c r="C27" s="548">
        <f>'AT-3'!F27</f>
        <v>3021</v>
      </c>
      <c r="D27" s="9">
        <v>924</v>
      </c>
      <c r="E27" s="9">
        <v>1963</v>
      </c>
      <c r="F27" s="9">
        <v>134</v>
      </c>
      <c r="G27" s="9">
        <v>0</v>
      </c>
      <c r="H27" s="9">
        <v>0</v>
      </c>
      <c r="I27" s="201">
        <v>3021</v>
      </c>
      <c r="J27" s="201">
        <v>3021</v>
      </c>
      <c r="K27" s="201">
        <v>3021</v>
      </c>
      <c r="L27" s="201">
        <v>1498</v>
      </c>
      <c r="M27" s="201">
        <v>506</v>
      </c>
      <c r="N27" s="201">
        <v>3021</v>
      </c>
    </row>
    <row r="28" spans="1:14" ht="15">
      <c r="A28" s="289">
        <v>20</v>
      </c>
      <c r="B28" s="328" t="s">
        <v>889</v>
      </c>
      <c r="C28" s="548">
        <f>'AT-3'!F28</f>
        <v>1705</v>
      </c>
      <c r="D28" s="9">
        <v>376</v>
      </c>
      <c r="E28" s="9">
        <v>775</v>
      </c>
      <c r="F28" s="9">
        <v>317</v>
      </c>
      <c r="G28" s="9">
        <v>134</v>
      </c>
      <c r="H28" s="9">
        <v>103</v>
      </c>
      <c r="I28" s="201">
        <v>1705</v>
      </c>
      <c r="J28" s="201">
        <v>1705</v>
      </c>
      <c r="K28" s="9">
        <v>1705</v>
      </c>
      <c r="L28" s="9">
        <v>893</v>
      </c>
      <c r="M28" s="9">
        <v>308</v>
      </c>
      <c r="N28" s="9">
        <v>1705</v>
      </c>
    </row>
    <row r="29" spans="1:14" ht="15">
      <c r="A29" s="289">
        <v>21</v>
      </c>
      <c r="B29" s="328" t="s">
        <v>890</v>
      </c>
      <c r="C29" s="548">
        <f>'AT-3'!F29</f>
        <v>4449</v>
      </c>
      <c r="D29" s="9">
        <v>1335</v>
      </c>
      <c r="E29" s="9">
        <v>2669</v>
      </c>
      <c r="F29" s="9">
        <v>445</v>
      </c>
      <c r="G29" s="9">
        <v>0</v>
      </c>
      <c r="H29" s="9">
        <v>0</v>
      </c>
      <c r="I29" s="201">
        <v>4449</v>
      </c>
      <c r="J29" s="201">
        <v>4449</v>
      </c>
      <c r="K29" s="201">
        <v>4449</v>
      </c>
      <c r="L29" s="201">
        <v>2108</v>
      </c>
      <c r="M29" s="201">
        <v>1108</v>
      </c>
      <c r="N29" s="201">
        <v>4449</v>
      </c>
    </row>
    <row r="30" spans="1:14" ht="15">
      <c r="A30" s="289">
        <v>22</v>
      </c>
      <c r="B30" s="328" t="s">
        <v>891</v>
      </c>
      <c r="C30" s="548">
        <f>'AT-3'!F30</f>
        <v>1548</v>
      </c>
      <c r="D30" s="9">
        <v>411</v>
      </c>
      <c r="E30" s="9">
        <v>511</v>
      </c>
      <c r="F30" s="9">
        <v>151</v>
      </c>
      <c r="G30" s="9">
        <v>75</v>
      </c>
      <c r="H30" s="9">
        <v>400</v>
      </c>
      <c r="I30" s="201">
        <v>1548</v>
      </c>
      <c r="J30" s="201">
        <v>1548</v>
      </c>
      <c r="K30" s="9">
        <v>1548</v>
      </c>
      <c r="L30" s="9">
        <v>758</v>
      </c>
      <c r="M30" s="9">
        <v>509</v>
      </c>
      <c r="N30" s="9">
        <v>1548</v>
      </c>
    </row>
    <row r="31" spans="1:14" ht="15">
      <c r="A31" s="289">
        <v>23</v>
      </c>
      <c r="B31" s="328" t="s">
        <v>892</v>
      </c>
      <c r="C31" s="548">
        <f>'AT-3'!F31</f>
        <v>1583</v>
      </c>
      <c r="D31" s="9">
        <v>533</v>
      </c>
      <c r="E31" s="9">
        <v>966</v>
      </c>
      <c r="F31" s="9">
        <v>84</v>
      </c>
      <c r="G31" s="9">
        <v>0</v>
      </c>
      <c r="H31" s="9">
        <v>0</v>
      </c>
      <c r="I31" s="201">
        <v>1583</v>
      </c>
      <c r="J31" s="201">
        <v>1583</v>
      </c>
      <c r="K31" s="9">
        <v>1583</v>
      </c>
      <c r="L31" s="9">
        <v>759</v>
      </c>
      <c r="M31" s="9">
        <v>489</v>
      </c>
      <c r="N31" s="9">
        <v>1583</v>
      </c>
    </row>
    <row r="32" spans="1:14" ht="15">
      <c r="A32" s="289">
        <v>24</v>
      </c>
      <c r="B32" s="328" t="s">
        <v>893</v>
      </c>
      <c r="C32" s="548">
        <f>'AT-3'!F32</f>
        <v>5432</v>
      </c>
      <c r="D32" s="9">
        <v>4012</v>
      </c>
      <c r="E32" s="9">
        <v>1206</v>
      </c>
      <c r="F32" s="9">
        <v>214</v>
      </c>
      <c r="G32" s="9">
        <v>0</v>
      </c>
      <c r="H32" s="9">
        <v>0</v>
      </c>
      <c r="I32" s="201">
        <v>5432</v>
      </c>
      <c r="J32" s="201">
        <v>5432</v>
      </c>
      <c r="K32" s="9">
        <v>5432</v>
      </c>
      <c r="L32" s="9">
        <v>3639</v>
      </c>
      <c r="M32" s="9">
        <v>2712</v>
      </c>
      <c r="N32" s="9">
        <v>5432</v>
      </c>
    </row>
    <row r="33" spans="1:14" ht="15">
      <c r="A33" s="289">
        <v>25</v>
      </c>
      <c r="B33" s="328" t="s">
        <v>894</v>
      </c>
      <c r="C33" s="548">
        <f>'AT-3'!F33</f>
        <v>3208</v>
      </c>
      <c r="D33" s="9">
        <v>287</v>
      </c>
      <c r="E33" s="9">
        <v>2289</v>
      </c>
      <c r="F33" s="9">
        <v>98</v>
      </c>
      <c r="G33" s="9">
        <v>278</v>
      </c>
      <c r="H33" s="9">
        <v>258</v>
      </c>
      <c r="I33" s="201">
        <v>3208</v>
      </c>
      <c r="J33" s="201">
        <v>3208</v>
      </c>
      <c r="K33" s="201">
        <v>3208</v>
      </c>
      <c r="L33" s="201">
        <v>1627</v>
      </c>
      <c r="M33" s="201">
        <v>841</v>
      </c>
      <c r="N33" s="201">
        <v>3208</v>
      </c>
    </row>
    <row r="34" spans="1:14" ht="15">
      <c r="A34" s="289">
        <v>26</v>
      </c>
      <c r="B34" s="328" t="s">
        <v>895</v>
      </c>
      <c r="C34" s="548">
        <f>'AT-3'!F34</f>
        <v>3076</v>
      </c>
      <c r="D34" s="9">
        <v>1276</v>
      </c>
      <c r="E34" s="9">
        <v>1294</v>
      </c>
      <c r="F34" s="9">
        <v>92</v>
      </c>
      <c r="G34" s="9">
        <v>114</v>
      </c>
      <c r="H34" s="9">
        <v>300</v>
      </c>
      <c r="I34" s="201">
        <v>3076</v>
      </c>
      <c r="J34" s="201">
        <v>3076</v>
      </c>
      <c r="K34" s="9">
        <v>3076</v>
      </c>
      <c r="L34" s="9">
        <v>1601</v>
      </c>
      <c r="M34" s="9">
        <v>431</v>
      </c>
      <c r="N34" s="9">
        <v>4595</v>
      </c>
    </row>
    <row r="35" spans="1:14" ht="15">
      <c r="A35" s="289">
        <v>27</v>
      </c>
      <c r="B35" s="328" t="s">
        <v>896</v>
      </c>
      <c r="C35" s="548">
        <f>'AT-3'!F35</f>
        <v>2515</v>
      </c>
      <c r="D35" s="9">
        <v>880</v>
      </c>
      <c r="E35" s="9">
        <v>1198</v>
      </c>
      <c r="F35" s="9">
        <v>223</v>
      </c>
      <c r="G35" s="9">
        <v>2</v>
      </c>
      <c r="H35" s="9">
        <v>212</v>
      </c>
      <c r="I35" s="201">
        <v>2515</v>
      </c>
      <c r="J35" s="201">
        <v>2515</v>
      </c>
      <c r="K35" s="9">
        <v>2515</v>
      </c>
      <c r="L35" s="9">
        <v>1288</v>
      </c>
      <c r="M35" s="9">
        <v>580</v>
      </c>
      <c r="N35" s="9">
        <v>2515</v>
      </c>
    </row>
    <row r="36" spans="1:14" ht="15">
      <c r="A36" s="289">
        <v>28</v>
      </c>
      <c r="B36" s="328" t="s">
        <v>897</v>
      </c>
      <c r="C36" s="548">
        <f>'AT-3'!F36</f>
        <v>3436</v>
      </c>
      <c r="D36" s="9">
        <v>2104</v>
      </c>
      <c r="E36" s="9">
        <v>1155</v>
      </c>
      <c r="F36" s="9">
        <v>80</v>
      </c>
      <c r="G36" s="9">
        <v>0</v>
      </c>
      <c r="H36" s="9">
        <v>97</v>
      </c>
      <c r="I36" s="201">
        <v>3436</v>
      </c>
      <c r="J36" s="201">
        <v>3436</v>
      </c>
      <c r="K36" s="201">
        <v>3436</v>
      </c>
      <c r="L36" s="201">
        <v>1689</v>
      </c>
      <c r="M36" s="201">
        <v>892</v>
      </c>
      <c r="N36" s="201">
        <v>3436</v>
      </c>
    </row>
    <row r="37" spans="1:14" ht="15">
      <c r="A37" s="289">
        <v>29</v>
      </c>
      <c r="B37" s="328" t="s">
        <v>898</v>
      </c>
      <c r="C37" s="548">
        <f>'AT-3'!F37</f>
        <v>1670</v>
      </c>
      <c r="D37" s="9">
        <v>339</v>
      </c>
      <c r="E37" s="9">
        <v>891</v>
      </c>
      <c r="F37" s="9">
        <v>97</v>
      </c>
      <c r="G37" s="9">
        <v>143</v>
      </c>
      <c r="H37" s="9">
        <v>110</v>
      </c>
      <c r="I37" s="201">
        <v>1670</v>
      </c>
      <c r="J37" s="201">
        <v>1670</v>
      </c>
      <c r="K37" s="9">
        <v>1670</v>
      </c>
      <c r="L37" s="9">
        <v>870</v>
      </c>
      <c r="M37" s="9">
        <v>129</v>
      </c>
      <c r="N37" s="9">
        <v>2575</v>
      </c>
    </row>
    <row r="38" spans="1:14" ht="15">
      <c r="A38" s="289">
        <v>30</v>
      </c>
      <c r="B38" s="328" t="s">
        <v>899</v>
      </c>
      <c r="C38" s="548">
        <f>'AT-3'!F38</f>
        <v>4073</v>
      </c>
      <c r="D38" s="9">
        <v>1266</v>
      </c>
      <c r="E38" s="9">
        <v>1977</v>
      </c>
      <c r="F38" s="9">
        <v>501</v>
      </c>
      <c r="G38" s="9">
        <v>0</v>
      </c>
      <c r="H38" s="9">
        <v>329</v>
      </c>
      <c r="I38" s="201">
        <v>2636</v>
      </c>
      <c r="J38" s="201">
        <v>4073</v>
      </c>
      <c r="K38" s="9">
        <v>4073</v>
      </c>
      <c r="L38" s="9">
        <v>2464</v>
      </c>
      <c r="M38" s="9">
        <v>2854</v>
      </c>
      <c r="N38" s="9">
        <v>4073</v>
      </c>
    </row>
    <row r="39" spans="1:14" ht="15">
      <c r="A39" s="289">
        <v>31</v>
      </c>
      <c r="B39" s="328" t="s">
        <v>900</v>
      </c>
      <c r="C39" s="548">
        <f>'AT-3'!F39</f>
        <v>2785</v>
      </c>
      <c r="D39" s="9">
        <v>2785</v>
      </c>
      <c r="E39" s="9">
        <v>0</v>
      </c>
      <c r="F39" s="9">
        <v>0</v>
      </c>
      <c r="G39" s="9">
        <v>0</v>
      </c>
      <c r="H39" s="9">
        <v>0</v>
      </c>
      <c r="I39" s="201">
        <v>2785</v>
      </c>
      <c r="J39" s="201">
        <v>2785</v>
      </c>
      <c r="K39" s="201">
        <v>2785</v>
      </c>
      <c r="L39" s="201">
        <v>1709</v>
      </c>
      <c r="M39" s="201">
        <v>576</v>
      </c>
      <c r="N39" s="201">
        <v>2785</v>
      </c>
    </row>
    <row r="40" spans="1:14" ht="15">
      <c r="A40" s="289">
        <v>32</v>
      </c>
      <c r="B40" s="328" t="s">
        <v>901</v>
      </c>
      <c r="C40" s="548">
        <f>'AT-3'!F40</f>
        <v>2393</v>
      </c>
      <c r="D40" s="9">
        <v>360</v>
      </c>
      <c r="E40" s="9">
        <v>1257</v>
      </c>
      <c r="F40" s="9">
        <v>776</v>
      </c>
      <c r="G40" s="9">
        <v>0</v>
      </c>
      <c r="H40" s="9">
        <v>0</v>
      </c>
      <c r="I40" s="201">
        <v>2393</v>
      </c>
      <c r="J40" s="201">
        <v>2393</v>
      </c>
      <c r="K40" s="9">
        <v>2393</v>
      </c>
      <c r="L40" s="9">
        <v>1178</v>
      </c>
      <c r="M40" s="9">
        <v>459</v>
      </c>
      <c r="N40" s="9">
        <v>2393</v>
      </c>
    </row>
    <row r="41" spans="1:14" ht="15">
      <c r="A41" s="289">
        <v>33</v>
      </c>
      <c r="B41" s="328" t="s">
        <v>902</v>
      </c>
      <c r="C41" s="548">
        <f>'AT-3'!F41</f>
        <v>1246</v>
      </c>
      <c r="D41" s="9">
        <v>0</v>
      </c>
      <c r="E41" s="9">
        <v>1246</v>
      </c>
      <c r="F41" s="9">
        <v>0</v>
      </c>
      <c r="G41" s="9">
        <v>0</v>
      </c>
      <c r="H41" s="9">
        <v>0</v>
      </c>
      <c r="I41" s="201">
        <v>1246</v>
      </c>
      <c r="J41" s="201">
        <v>1246</v>
      </c>
      <c r="K41" s="9">
        <v>1246</v>
      </c>
      <c r="L41" s="9">
        <v>445</v>
      </c>
      <c r="M41" s="9">
        <v>209</v>
      </c>
      <c r="N41" s="9">
        <v>1246</v>
      </c>
    </row>
    <row r="42" spans="1:14" ht="15">
      <c r="A42" s="289">
        <v>34</v>
      </c>
      <c r="B42" s="328" t="s">
        <v>903</v>
      </c>
      <c r="C42" s="548">
        <f>'AT-3'!F42</f>
        <v>1110</v>
      </c>
      <c r="D42" s="9">
        <v>289</v>
      </c>
      <c r="E42" s="9">
        <v>215</v>
      </c>
      <c r="F42" s="9">
        <v>412</v>
      </c>
      <c r="G42" s="9">
        <v>24</v>
      </c>
      <c r="H42" s="9">
        <v>227</v>
      </c>
      <c r="I42" s="201">
        <v>1110</v>
      </c>
      <c r="J42" s="201">
        <v>1110</v>
      </c>
      <c r="K42" s="9">
        <v>1110</v>
      </c>
      <c r="L42" s="9">
        <v>310</v>
      </c>
      <c r="M42" s="9">
        <v>188</v>
      </c>
      <c r="N42" s="9">
        <v>1110</v>
      </c>
    </row>
    <row r="43" spans="1:14" ht="15">
      <c r="A43" s="289">
        <v>35</v>
      </c>
      <c r="B43" s="328" t="s">
        <v>904</v>
      </c>
      <c r="C43" s="548">
        <f>'AT-3'!F43</f>
        <v>2782</v>
      </c>
      <c r="D43" s="9">
        <v>139</v>
      </c>
      <c r="E43" s="9">
        <v>970</v>
      </c>
      <c r="F43" s="9">
        <v>831</v>
      </c>
      <c r="G43" s="9">
        <v>831</v>
      </c>
      <c r="H43" s="9">
        <v>0</v>
      </c>
      <c r="I43" s="201">
        <v>1108</v>
      </c>
      <c r="J43" s="201">
        <v>2782</v>
      </c>
      <c r="K43" s="9">
        <v>2782</v>
      </c>
      <c r="L43" s="9">
        <v>1188</v>
      </c>
      <c r="M43" s="9">
        <v>659</v>
      </c>
      <c r="N43" s="9">
        <v>2782</v>
      </c>
    </row>
    <row r="44" spans="1:14" ht="12.75">
      <c r="A44" s="30" t="s">
        <v>19</v>
      </c>
      <c r="B44" s="9"/>
      <c r="C44" s="9">
        <f>SUM(C9:C43)</f>
        <v>86780</v>
      </c>
      <c r="D44" s="9">
        <f aca="true" t="shared" si="0" ref="D44:N44">SUM(D9:D43)</f>
        <v>32199</v>
      </c>
      <c r="E44" s="9">
        <f t="shared" si="0"/>
        <v>33910</v>
      </c>
      <c r="F44" s="9">
        <f t="shared" si="0"/>
        <v>12479</v>
      </c>
      <c r="G44" s="9">
        <f t="shared" si="0"/>
        <v>2879</v>
      </c>
      <c r="H44" s="9">
        <f t="shared" si="0"/>
        <v>5366</v>
      </c>
      <c r="I44" s="9">
        <f t="shared" si="0"/>
        <v>79982</v>
      </c>
      <c r="J44" s="9">
        <f t="shared" si="0"/>
        <v>86583</v>
      </c>
      <c r="K44" s="9">
        <f t="shared" si="0"/>
        <v>85860</v>
      </c>
      <c r="L44" s="9">
        <f t="shared" si="0"/>
        <v>41255</v>
      </c>
      <c r="M44" s="9">
        <f t="shared" si="0"/>
        <v>22664</v>
      </c>
      <c r="N44" s="201">
        <f t="shared" si="0"/>
        <v>87603</v>
      </c>
    </row>
    <row r="47" spans="1:14" ht="12.75" customHeight="1">
      <c r="A47" s="203"/>
      <c r="B47" s="203"/>
      <c r="C47" s="748" t="s">
        <v>1021</v>
      </c>
      <c r="D47" s="748"/>
      <c r="E47" s="748"/>
      <c r="F47" s="83"/>
      <c r="J47" s="217"/>
      <c r="K47" s="748" t="s">
        <v>1024</v>
      </c>
      <c r="L47" s="748"/>
      <c r="M47" s="748"/>
      <c r="N47" s="748"/>
    </row>
    <row r="48" spans="1:14" ht="12.75" customHeight="1">
      <c r="A48" s="203"/>
      <c r="B48" s="203"/>
      <c r="C48" s="748" t="s">
        <v>1022</v>
      </c>
      <c r="D48" s="748"/>
      <c r="E48" s="748"/>
      <c r="F48" s="83"/>
      <c r="J48" s="217"/>
      <c r="K48" s="748" t="s">
        <v>1025</v>
      </c>
      <c r="L48" s="748"/>
      <c r="M48" s="748"/>
      <c r="N48" s="748"/>
    </row>
    <row r="49" spans="1:14" ht="12.75" customHeight="1">
      <c r="A49" s="203"/>
      <c r="B49" s="203"/>
      <c r="C49" s="735" t="s">
        <v>1023</v>
      </c>
      <c r="D49" s="735"/>
      <c r="E49" s="735"/>
      <c r="F49" s="36"/>
      <c r="K49" s="735" t="s">
        <v>1023</v>
      </c>
      <c r="L49" s="735"/>
      <c r="M49" s="735"/>
      <c r="N49" s="735"/>
    </row>
    <row r="50" spans="1:11" ht="12.75">
      <c r="A50" s="203" t="s">
        <v>12</v>
      </c>
      <c r="C50" s="203"/>
      <c r="D50" s="203"/>
      <c r="K50" s="205"/>
    </row>
  </sheetData>
  <sheetProtection/>
  <mergeCells count="16">
    <mergeCell ref="A1:K1"/>
    <mergeCell ref="A2:K2"/>
    <mergeCell ref="A4:H4"/>
    <mergeCell ref="A6:A7"/>
    <mergeCell ref="B6:B7"/>
    <mergeCell ref="K6:N6"/>
    <mergeCell ref="I6:I7"/>
    <mergeCell ref="J6:J7"/>
    <mergeCell ref="D6:H6"/>
    <mergeCell ref="C6:C7"/>
    <mergeCell ref="K49:N49"/>
    <mergeCell ref="C47:E47"/>
    <mergeCell ref="C48:E48"/>
    <mergeCell ref="C49:E49"/>
    <mergeCell ref="K47:N47"/>
    <mergeCell ref="K48:N48"/>
  </mergeCells>
  <printOptions horizontalCentered="1"/>
  <pageMargins left="0.7086614173228347" right="0.7086614173228347" top="0.2362204724409449" bottom="0" header="0.24" footer="0.2"/>
  <pageSetup fitToHeight="1" fitToWidth="1" horizontalDpi="600" verticalDpi="600" orientation="landscape" paperSize="9" scale="7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120" zoomScaleSheetLayoutView="120" zoomScalePageLayoutView="0" workbookViewId="0" topLeftCell="A1">
      <pane xSplit="3" ySplit="8" topLeftCell="D42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48" sqref="B48:H50"/>
    </sheetView>
  </sheetViews>
  <sheetFormatPr defaultColWidth="9.140625" defaultRowHeight="12.75"/>
  <cols>
    <col min="1" max="1" width="6.57421875" style="0" customWidth="1"/>
    <col min="2" max="2" width="23.57421875" style="0" customWidth="1"/>
    <col min="3" max="3" width="16.7109375" style="0" customWidth="1"/>
    <col min="4" max="4" width="12.57421875" style="0" customWidth="1"/>
    <col min="5" max="5" width="13.00390625" style="0" customWidth="1"/>
    <col min="6" max="6" width="14.7109375" style="0" customWidth="1"/>
    <col min="7" max="7" width="13.57421875" style="0" customWidth="1"/>
    <col min="8" max="8" width="15.57421875" style="0" customWidth="1"/>
  </cols>
  <sheetData>
    <row r="1" spans="1:8" ht="18">
      <c r="A1" s="801" t="s">
        <v>0</v>
      </c>
      <c r="B1" s="801"/>
      <c r="C1" s="801"/>
      <c r="D1" s="801"/>
      <c r="E1" s="801"/>
      <c r="F1" s="801"/>
      <c r="G1" s="801"/>
      <c r="H1" s="236" t="s">
        <v>537</v>
      </c>
    </row>
    <row r="2" spans="1:7" ht="21">
      <c r="A2" s="802" t="s">
        <v>656</v>
      </c>
      <c r="B2" s="802"/>
      <c r="C2" s="802"/>
      <c r="D2" s="802"/>
      <c r="E2" s="802"/>
      <c r="F2" s="802"/>
      <c r="G2" s="802"/>
    </row>
    <row r="3" spans="1:7" ht="15">
      <c r="A3" s="196"/>
      <c r="B3" s="196"/>
      <c r="C3" s="196"/>
      <c r="D3" s="196"/>
      <c r="E3" s="196"/>
      <c r="F3" s="196"/>
      <c r="G3" s="196"/>
    </row>
    <row r="4" spans="1:7" ht="18">
      <c r="A4" s="801" t="s">
        <v>536</v>
      </c>
      <c r="B4" s="801"/>
      <c r="C4" s="801"/>
      <c r="D4" s="801"/>
      <c r="E4" s="801"/>
      <c r="F4" s="801"/>
      <c r="G4" s="801"/>
    </row>
    <row r="5" spans="1:7" ht="15">
      <c r="A5" s="208" t="s">
        <v>1020</v>
      </c>
      <c r="B5" s="208"/>
      <c r="C5" s="209"/>
      <c r="D5" s="197"/>
      <c r="E5" s="197"/>
      <c r="F5" s="197"/>
      <c r="G5" s="197" t="s">
        <v>820</v>
      </c>
    </row>
    <row r="6" spans="1:8" ht="21.75" customHeight="1">
      <c r="A6" s="915" t="s">
        <v>2</v>
      </c>
      <c r="B6" s="915" t="s">
        <v>516</v>
      </c>
      <c r="C6" s="709" t="s">
        <v>37</v>
      </c>
      <c r="D6" s="709" t="s">
        <v>521</v>
      </c>
      <c r="E6" s="709"/>
      <c r="F6" s="697" t="s">
        <v>522</v>
      </c>
      <c r="G6" s="697"/>
      <c r="H6" s="915" t="s">
        <v>231</v>
      </c>
    </row>
    <row r="7" spans="1:8" ht="25.5" customHeight="1">
      <c r="A7" s="916"/>
      <c r="B7" s="916"/>
      <c r="C7" s="709"/>
      <c r="D7" s="5" t="s">
        <v>517</v>
      </c>
      <c r="E7" s="5" t="s">
        <v>518</v>
      </c>
      <c r="F7" s="68" t="s">
        <v>519</v>
      </c>
      <c r="G7" s="5" t="s">
        <v>520</v>
      </c>
      <c r="H7" s="916"/>
    </row>
    <row r="8" spans="1:8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  <c r="H8" s="200">
        <v>8</v>
      </c>
    </row>
    <row r="9" spans="1:8" ht="15">
      <c r="A9" s="289">
        <v>1</v>
      </c>
      <c r="B9" s="328" t="s">
        <v>893</v>
      </c>
      <c r="C9" s="328" t="s">
        <v>870</v>
      </c>
      <c r="D9" s="548">
        <v>2</v>
      </c>
      <c r="E9" s="548">
        <v>2</v>
      </c>
      <c r="F9" s="548">
        <v>2</v>
      </c>
      <c r="G9" s="548">
        <v>0</v>
      </c>
      <c r="H9" s="548">
        <v>0</v>
      </c>
    </row>
    <row r="10" spans="1:8" ht="15">
      <c r="A10" s="289">
        <v>2</v>
      </c>
      <c r="B10" s="328" t="s">
        <v>953</v>
      </c>
      <c r="C10" s="328" t="s">
        <v>871</v>
      </c>
      <c r="D10" s="548">
        <v>0</v>
      </c>
      <c r="E10" s="548">
        <v>0</v>
      </c>
      <c r="F10" s="548">
        <v>0</v>
      </c>
      <c r="G10" s="548">
        <v>0</v>
      </c>
      <c r="H10" s="548">
        <v>0</v>
      </c>
    </row>
    <row r="11" spans="1:8" ht="15">
      <c r="A11" s="289">
        <v>3</v>
      </c>
      <c r="B11" s="328" t="s">
        <v>953</v>
      </c>
      <c r="C11" s="328" t="s">
        <v>872</v>
      </c>
      <c r="D11" s="548">
        <v>0</v>
      </c>
      <c r="E11" s="548">
        <v>0</v>
      </c>
      <c r="F11" s="548">
        <v>0</v>
      </c>
      <c r="G11" s="548">
        <v>0</v>
      </c>
      <c r="H11" s="548">
        <v>0</v>
      </c>
    </row>
    <row r="12" spans="1:8" ht="15">
      <c r="A12" s="289">
        <v>4</v>
      </c>
      <c r="B12" s="328" t="s">
        <v>873</v>
      </c>
      <c r="C12" s="328" t="s">
        <v>873</v>
      </c>
      <c r="D12" s="548">
        <v>19</v>
      </c>
      <c r="E12" s="548">
        <v>19</v>
      </c>
      <c r="F12" s="548">
        <v>19</v>
      </c>
      <c r="G12" s="548">
        <v>0</v>
      </c>
      <c r="H12" s="548">
        <v>0</v>
      </c>
    </row>
    <row r="13" spans="1:8" ht="15">
      <c r="A13" s="289">
        <v>5</v>
      </c>
      <c r="B13" s="328" t="s">
        <v>873</v>
      </c>
      <c r="C13" s="328" t="s">
        <v>874</v>
      </c>
      <c r="D13" s="548">
        <v>1</v>
      </c>
      <c r="E13" s="548">
        <v>1</v>
      </c>
      <c r="F13" s="548">
        <v>1</v>
      </c>
      <c r="G13" s="548">
        <v>0</v>
      </c>
      <c r="H13" s="548">
        <v>0</v>
      </c>
    </row>
    <row r="14" spans="1:8" ht="15">
      <c r="A14" s="289">
        <v>6</v>
      </c>
      <c r="B14" s="328"/>
      <c r="C14" s="328" t="s">
        <v>875</v>
      </c>
      <c r="D14" s="548">
        <v>0</v>
      </c>
      <c r="E14" s="548">
        <v>0</v>
      </c>
      <c r="F14" s="548">
        <v>0</v>
      </c>
      <c r="G14" s="548">
        <v>0</v>
      </c>
      <c r="H14" s="548">
        <v>0</v>
      </c>
    </row>
    <row r="15" spans="1:8" ht="15">
      <c r="A15" s="289">
        <v>7</v>
      </c>
      <c r="B15" s="367" t="s">
        <v>873</v>
      </c>
      <c r="C15" s="328" t="s">
        <v>876</v>
      </c>
      <c r="D15" s="548">
        <v>0</v>
      </c>
      <c r="E15" s="548">
        <v>0</v>
      </c>
      <c r="F15" s="548">
        <v>0</v>
      </c>
      <c r="G15" s="548">
        <v>0</v>
      </c>
      <c r="H15" s="548">
        <v>0</v>
      </c>
    </row>
    <row r="16" spans="1:8" ht="15">
      <c r="A16" s="289">
        <v>8</v>
      </c>
      <c r="B16" s="328" t="s">
        <v>887</v>
      </c>
      <c r="C16" s="328" t="s">
        <v>877</v>
      </c>
      <c r="D16" s="548">
        <v>0</v>
      </c>
      <c r="E16" s="548">
        <v>0</v>
      </c>
      <c r="F16" s="548">
        <v>0</v>
      </c>
      <c r="G16" s="548">
        <v>0</v>
      </c>
      <c r="H16" s="548">
        <v>0</v>
      </c>
    </row>
    <row r="17" spans="1:8" ht="15">
      <c r="A17" s="289">
        <v>9</v>
      </c>
      <c r="B17" s="328" t="s">
        <v>890</v>
      </c>
      <c r="C17" s="328" t="s">
        <v>878</v>
      </c>
      <c r="D17" s="20">
        <v>12</v>
      </c>
      <c r="E17" s="20">
        <v>12</v>
      </c>
      <c r="F17" s="20">
        <v>12</v>
      </c>
      <c r="G17" s="20">
        <v>0</v>
      </c>
      <c r="H17" s="20">
        <v>0</v>
      </c>
    </row>
    <row r="18" spans="1:8" ht="15">
      <c r="A18" s="289">
        <v>10</v>
      </c>
      <c r="B18" s="328" t="s">
        <v>887</v>
      </c>
      <c r="C18" s="328" t="s">
        <v>879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</row>
    <row r="19" spans="1:9" ht="15">
      <c r="A19" s="289">
        <v>11</v>
      </c>
      <c r="B19" s="328" t="s">
        <v>887</v>
      </c>
      <c r="C19" s="328" t="s">
        <v>880</v>
      </c>
      <c r="D19" s="20">
        <v>1</v>
      </c>
      <c r="E19" s="20">
        <v>1</v>
      </c>
      <c r="F19" s="20">
        <v>0</v>
      </c>
      <c r="G19" s="20">
        <v>0</v>
      </c>
      <c r="H19" s="20">
        <v>0</v>
      </c>
      <c r="I19" t="s">
        <v>982</v>
      </c>
    </row>
    <row r="20" spans="1:9" ht="15">
      <c r="A20" s="289">
        <v>12</v>
      </c>
      <c r="B20" s="328" t="s">
        <v>873</v>
      </c>
      <c r="C20" s="328" t="s">
        <v>881</v>
      </c>
      <c r="D20" s="20">
        <v>5</v>
      </c>
      <c r="E20" s="20">
        <v>5</v>
      </c>
      <c r="F20" s="20">
        <v>0</v>
      </c>
      <c r="G20" s="20">
        <v>0</v>
      </c>
      <c r="H20" s="20">
        <v>0</v>
      </c>
      <c r="I20" t="s">
        <v>982</v>
      </c>
    </row>
    <row r="21" spans="1:9" ht="15">
      <c r="A21" s="289">
        <v>13</v>
      </c>
      <c r="B21" s="328" t="s">
        <v>873</v>
      </c>
      <c r="C21" s="328" t="s">
        <v>882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6" t="s">
        <v>413</v>
      </c>
    </row>
    <row r="22" spans="1:8" ht="15">
      <c r="A22" s="289">
        <v>14</v>
      </c>
      <c r="B22" s="367" t="s">
        <v>873</v>
      </c>
      <c r="C22" s="328" t="s">
        <v>883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</row>
    <row r="23" spans="1:8" ht="15">
      <c r="A23" s="289">
        <v>15</v>
      </c>
      <c r="B23" s="328" t="s">
        <v>884</v>
      </c>
      <c r="C23" s="328" t="s">
        <v>884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</row>
    <row r="24" spans="1:8" ht="15">
      <c r="A24" s="289">
        <v>16</v>
      </c>
      <c r="B24" s="367" t="s">
        <v>873</v>
      </c>
      <c r="C24" s="328" t="s">
        <v>885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5">
      <c r="A25" s="289">
        <v>17</v>
      </c>
      <c r="B25" s="328" t="s">
        <v>886</v>
      </c>
      <c r="C25" s="328" t="s">
        <v>886</v>
      </c>
      <c r="D25" s="9">
        <v>4456</v>
      </c>
      <c r="E25" s="9">
        <v>4456</v>
      </c>
      <c r="F25" s="9">
        <v>4456</v>
      </c>
      <c r="G25" s="9">
        <v>0</v>
      </c>
      <c r="H25" s="9">
        <v>0</v>
      </c>
    </row>
    <row r="26" spans="1:8" ht="15">
      <c r="A26" s="289">
        <v>18</v>
      </c>
      <c r="B26" s="328" t="s">
        <v>887</v>
      </c>
      <c r="C26" s="328" t="s">
        <v>887</v>
      </c>
      <c r="D26" s="9">
        <v>32</v>
      </c>
      <c r="E26" s="9">
        <v>30</v>
      </c>
      <c r="F26" s="9">
        <v>30</v>
      </c>
      <c r="G26" s="9">
        <v>0</v>
      </c>
      <c r="H26" s="9">
        <v>0</v>
      </c>
    </row>
    <row r="27" spans="1:8" ht="15">
      <c r="A27" s="289">
        <v>19</v>
      </c>
      <c r="B27" s="328" t="s">
        <v>873</v>
      </c>
      <c r="C27" s="328" t="s">
        <v>888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5">
      <c r="A28" s="289">
        <v>20</v>
      </c>
      <c r="B28" s="367" t="s">
        <v>890</v>
      </c>
      <c r="C28" s="328" t="s">
        <v>889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5">
      <c r="A29" s="289">
        <v>21</v>
      </c>
      <c r="B29" s="367" t="s">
        <v>890</v>
      </c>
      <c r="C29" s="328" t="s">
        <v>890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5">
      <c r="A30" s="289">
        <v>22</v>
      </c>
      <c r="B30" s="328" t="s">
        <v>899</v>
      </c>
      <c r="C30" s="328" t="s">
        <v>891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5">
      <c r="A31" s="289">
        <v>23</v>
      </c>
      <c r="B31" s="328" t="s">
        <v>873</v>
      </c>
      <c r="C31" s="328" t="s">
        <v>892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</row>
    <row r="32" spans="1:8" ht="15">
      <c r="A32" s="289">
        <v>24</v>
      </c>
      <c r="B32" s="328" t="s">
        <v>893</v>
      </c>
      <c r="C32" s="328" t="s">
        <v>893</v>
      </c>
      <c r="D32" s="9">
        <v>27</v>
      </c>
      <c r="E32" s="9">
        <v>27</v>
      </c>
      <c r="F32" s="9">
        <v>27</v>
      </c>
      <c r="G32" s="9">
        <v>0</v>
      </c>
      <c r="H32" s="9">
        <v>0</v>
      </c>
    </row>
    <row r="33" spans="1:8" ht="15">
      <c r="A33" s="289">
        <v>25</v>
      </c>
      <c r="B33" s="328" t="s">
        <v>973</v>
      </c>
      <c r="C33" s="328" t="s">
        <v>894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</row>
    <row r="34" spans="1:8" ht="15">
      <c r="A34" s="289">
        <v>26</v>
      </c>
      <c r="B34" s="328" t="s">
        <v>884</v>
      </c>
      <c r="C34" s="328" t="s">
        <v>895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</row>
    <row r="35" spans="1:9" ht="15">
      <c r="A35" s="289">
        <v>27</v>
      </c>
      <c r="B35" s="367" t="s">
        <v>896</v>
      </c>
      <c r="C35" s="328" t="s">
        <v>896</v>
      </c>
      <c r="D35" s="9">
        <v>7</v>
      </c>
      <c r="E35" s="9">
        <v>7</v>
      </c>
      <c r="F35" s="9">
        <v>0</v>
      </c>
      <c r="G35" s="9">
        <v>0</v>
      </c>
      <c r="H35" s="9">
        <v>0</v>
      </c>
      <c r="I35" s="16" t="s">
        <v>977</v>
      </c>
    </row>
    <row r="36" spans="1:8" ht="15">
      <c r="A36" s="289">
        <v>28</v>
      </c>
      <c r="B36" s="367" t="s">
        <v>897</v>
      </c>
      <c r="C36" s="328" t="s">
        <v>897</v>
      </c>
      <c r="D36" s="9">
        <v>11</v>
      </c>
      <c r="E36" s="9">
        <v>11</v>
      </c>
      <c r="F36" s="9">
        <v>11</v>
      </c>
      <c r="G36" s="9">
        <v>0</v>
      </c>
      <c r="H36" s="9">
        <v>0</v>
      </c>
    </row>
    <row r="37" spans="1:8" ht="15">
      <c r="A37" s="289">
        <v>29</v>
      </c>
      <c r="B37" s="328" t="s">
        <v>884</v>
      </c>
      <c r="C37" s="328" t="s">
        <v>898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</row>
    <row r="38" spans="1:8" ht="15">
      <c r="A38" s="289">
        <v>30</v>
      </c>
      <c r="B38" s="328" t="s">
        <v>899</v>
      </c>
      <c r="C38" s="328" t="s">
        <v>899</v>
      </c>
      <c r="D38" s="9">
        <v>10</v>
      </c>
      <c r="E38" s="9">
        <v>10</v>
      </c>
      <c r="F38" s="9">
        <v>10</v>
      </c>
      <c r="G38" s="9">
        <v>0</v>
      </c>
      <c r="H38" s="9">
        <v>0</v>
      </c>
    </row>
    <row r="39" spans="1:9" ht="15">
      <c r="A39" s="289">
        <v>31</v>
      </c>
      <c r="B39" s="328" t="s">
        <v>973</v>
      </c>
      <c r="C39" s="328" t="s">
        <v>900</v>
      </c>
      <c r="D39" s="9">
        <v>2</v>
      </c>
      <c r="E39" s="9">
        <v>2</v>
      </c>
      <c r="F39" s="9">
        <v>0</v>
      </c>
      <c r="G39" s="9">
        <v>0</v>
      </c>
      <c r="H39" s="9"/>
      <c r="I39" t="s">
        <v>996</v>
      </c>
    </row>
    <row r="40" spans="1:8" ht="15">
      <c r="A40" s="289">
        <v>32</v>
      </c>
      <c r="B40" s="328" t="s">
        <v>973</v>
      </c>
      <c r="C40" s="328" t="s">
        <v>901</v>
      </c>
      <c r="D40" s="9">
        <v>20</v>
      </c>
      <c r="E40" s="9">
        <v>20</v>
      </c>
      <c r="F40" s="9">
        <v>20</v>
      </c>
      <c r="G40" s="9">
        <v>0</v>
      </c>
      <c r="H40" s="9">
        <v>0</v>
      </c>
    </row>
    <row r="41" spans="1:8" ht="15">
      <c r="A41" s="289">
        <v>33</v>
      </c>
      <c r="B41" s="328" t="s">
        <v>887</v>
      </c>
      <c r="C41" s="328" t="s">
        <v>902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5">
      <c r="A42" s="289">
        <v>34</v>
      </c>
      <c r="B42" s="328" t="s">
        <v>872</v>
      </c>
      <c r="C42" s="328" t="s">
        <v>903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5">
      <c r="A43" s="289">
        <v>35</v>
      </c>
      <c r="B43" s="367" t="s">
        <v>953</v>
      </c>
      <c r="C43" s="328" t="s">
        <v>904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0" t="s">
        <v>19</v>
      </c>
      <c r="B44" s="9"/>
      <c r="C44" s="9"/>
      <c r="D44" s="9">
        <f>SUM(D9:D43)</f>
        <v>4605</v>
      </c>
      <c r="E44" s="9">
        <f>SUM(E9:E43)</f>
        <v>4603</v>
      </c>
      <c r="F44" s="9">
        <f>SUM(F9:F43)</f>
        <v>4588</v>
      </c>
      <c r="G44" s="9">
        <f>SUM(G9:G43)</f>
        <v>0</v>
      </c>
      <c r="H44" s="9">
        <f>SUM(H9:H43)</f>
        <v>0</v>
      </c>
    </row>
    <row r="47" spans="1:8" ht="12.75" customHeight="1">
      <c r="A47" s="203"/>
      <c r="B47" s="203"/>
      <c r="C47" s="203"/>
      <c r="D47" s="203"/>
      <c r="F47" s="217"/>
      <c r="G47" s="217"/>
      <c r="H47" s="217"/>
    </row>
    <row r="48" spans="1:8" ht="12.75" customHeight="1">
      <c r="A48" s="203"/>
      <c r="B48" s="748" t="s">
        <v>1021</v>
      </c>
      <c r="C48" s="748"/>
      <c r="D48" s="83"/>
      <c r="E48" s="83"/>
      <c r="F48" s="748" t="s">
        <v>1024</v>
      </c>
      <c r="G48" s="748"/>
      <c r="H48" s="748"/>
    </row>
    <row r="49" spans="1:8" ht="12.75" customHeight="1">
      <c r="A49" s="203"/>
      <c r="B49" s="748" t="s">
        <v>1022</v>
      </c>
      <c r="C49" s="748"/>
      <c r="D49" s="83"/>
      <c r="E49" s="83"/>
      <c r="F49" s="748" t="s">
        <v>1025</v>
      </c>
      <c r="G49" s="748"/>
      <c r="H49" s="748"/>
    </row>
    <row r="50" spans="1:8" ht="12.75">
      <c r="A50" s="203" t="s">
        <v>12</v>
      </c>
      <c r="B50" s="735" t="s">
        <v>1023</v>
      </c>
      <c r="C50" s="735"/>
      <c r="D50" s="36"/>
      <c r="E50" s="36"/>
      <c r="F50" s="735" t="s">
        <v>1023</v>
      </c>
      <c r="G50" s="735"/>
      <c r="H50" s="735"/>
    </row>
  </sheetData>
  <sheetProtection/>
  <mergeCells count="15">
    <mergeCell ref="A1:G1"/>
    <mergeCell ref="A2:G2"/>
    <mergeCell ref="A4:G4"/>
    <mergeCell ref="A6:A7"/>
    <mergeCell ref="B6:B7"/>
    <mergeCell ref="C6:C7"/>
    <mergeCell ref="F6:G6"/>
    <mergeCell ref="D6:E6"/>
    <mergeCell ref="H6:H7"/>
    <mergeCell ref="B48:C48"/>
    <mergeCell ref="B49:C49"/>
    <mergeCell ref="B50:C50"/>
    <mergeCell ref="F48:H48"/>
    <mergeCell ref="F49:H49"/>
    <mergeCell ref="F50:H50"/>
  </mergeCells>
  <printOptions horizontalCentered="1"/>
  <pageMargins left="0.7086614173228347" right="0.7086614173228347" top="0.2362204724409449" bottom="0" header="0.26" footer="0.2"/>
  <pageSetup fitToHeight="1" fitToWidth="1" horizontalDpi="600" verticalDpi="600" orientation="landscape" paperSize="9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84" zoomScaleSheetLayoutView="84" zoomScalePageLayoutView="0" workbookViewId="0" topLeftCell="A1">
      <pane xSplit="2" ySplit="8" topLeftCell="C3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50" sqref="C50:E50"/>
    </sheetView>
  </sheetViews>
  <sheetFormatPr defaultColWidth="9.140625" defaultRowHeight="12.75"/>
  <cols>
    <col min="1" max="1" width="6.421875" style="0" customWidth="1"/>
    <col min="2" max="2" width="15.421875" style="0" customWidth="1"/>
    <col min="3" max="3" width="15.28125" style="0" customWidth="1"/>
    <col min="4" max="5" width="15.421875" style="0" customWidth="1"/>
    <col min="6" max="9" width="15.7109375" style="0" customWidth="1"/>
    <col min="10" max="10" width="15.421875" style="0" customWidth="1"/>
    <col min="11" max="11" width="20.00390625" style="0" customWidth="1"/>
    <col min="12" max="12" width="14.28125" style="0" customWidth="1"/>
  </cols>
  <sheetData>
    <row r="1" spans="1:12" ht="18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236" t="s">
        <v>539</v>
      </c>
    </row>
    <row r="2" spans="1:11" ht="21">
      <c r="A2" s="802" t="s">
        <v>656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1" ht="1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8">
      <c r="A4" s="801" t="s">
        <v>538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</row>
    <row r="5" spans="1:12" ht="15">
      <c r="A5" s="208" t="s">
        <v>1020</v>
      </c>
      <c r="B5" s="208"/>
      <c r="C5" s="209"/>
      <c r="D5" s="197"/>
      <c r="E5" s="197"/>
      <c r="F5" s="197"/>
      <c r="G5" s="197"/>
      <c r="H5" s="197"/>
      <c r="I5" s="197"/>
      <c r="J5" s="951" t="s">
        <v>820</v>
      </c>
      <c r="K5" s="951"/>
      <c r="L5" s="951"/>
    </row>
    <row r="6" spans="1:12" ht="21.75" customHeight="1">
      <c r="A6" s="915" t="s">
        <v>2</v>
      </c>
      <c r="B6" s="915" t="s">
        <v>37</v>
      </c>
      <c r="C6" s="696" t="s">
        <v>481</v>
      </c>
      <c r="D6" s="697"/>
      <c r="E6" s="698"/>
      <c r="F6" s="696" t="s">
        <v>487</v>
      </c>
      <c r="G6" s="697"/>
      <c r="H6" s="697"/>
      <c r="I6" s="698"/>
      <c r="J6" s="709" t="s">
        <v>489</v>
      </c>
      <c r="K6" s="709"/>
      <c r="L6" s="709"/>
    </row>
    <row r="7" spans="1:12" ht="29.25" customHeight="1">
      <c r="A7" s="916"/>
      <c r="B7" s="916"/>
      <c r="C7" s="229" t="s">
        <v>221</v>
      </c>
      <c r="D7" s="229" t="s">
        <v>483</v>
      </c>
      <c r="E7" s="229" t="s">
        <v>488</v>
      </c>
      <c r="F7" s="229" t="s">
        <v>221</v>
      </c>
      <c r="G7" s="229" t="s">
        <v>482</v>
      </c>
      <c r="H7" s="229" t="s">
        <v>484</v>
      </c>
      <c r="I7" s="229" t="s">
        <v>488</v>
      </c>
      <c r="J7" s="5" t="s">
        <v>485</v>
      </c>
      <c r="K7" s="5" t="s">
        <v>486</v>
      </c>
      <c r="L7" s="229" t="s">
        <v>488</v>
      </c>
    </row>
    <row r="8" spans="1:12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  <c r="H8" s="200" t="s">
        <v>279</v>
      </c>
      <c r="I8" s="200" t="s">
        <v>298</v>
      </c>
      <c r="J8" s="200" t="s">
        <v>299</v>
      </c>
      <c r="K8" s="200" t="s">
        <v>300</v>
      </c>
      <c r="L8" s="200" t="s">
        <v>328</v>
      </c>
    </row>
    <row r="9" spans="1:12" ht="30">
      <c r="A9" s="200">
        <v>1</v>
      </c>
      <c r="B9" s="328" t="s">
        <v>870</v>
      </c>
      <c r="C9" s="289">
        <v>38</v>
      </c>
      <c r="D9" s="289">
        <v>1129</v>
      </c>
      <c r="E9" s="289">
        <v>32283</v>
      </c>
      <c r="F9" s="289">
        <v>324</v>
      </c>
      <c r="G9" s="289">
        <v>49442</v>
      </c>
      <c r="H9" s="550" t="s">
        <v>992</v>
      </c>
      <c r="I9" s="289">
        <v>148843</v>
      </c>
      <c r="J9" s="289">
        <v>0</v>
      </c>
      <c r="K9" s="289">
        <v>0</v>
      </c>
      <c r="L9" s="289">
        <v>0</v>
      </c>
    </row>
    <row r="10" spans="1:12" ht="15">
      <c r="A10" s="200">
        <v>2</v>
      </c>
      <c r="B10" s="328" t="s">
        <v>871</v>
      </c>
      <c r="C10" s="289">
        <v>0</v>
      </c>
      <c r="D10" s="289">
        <v>0</v>
      </c>
      <c r="E10" s="289">
        <v>0</v>
      </c>
      <c r="F10" s="289">
        <v>0</v>
      </c>
      <c r="G10" s="289">
        <v>0</v>
      </c>
      <c r="H10" s="289">
        <v>0</v>
      </c>
      <c r="I10" s="289">
        <v>0</v>
      </c>
      <c r="J10" s="289">
        <v>0</v>
      </c>
      <c r="K10" s="289">
        <v>0</v>
      </c>
      <c r="L10" s="289">
        <v>0</v>
      </c>
    </row>
    <row r="11" spans="1:12" ht="15">
      <c r="A11" s="200">
        <v>3</v>
      </c>
      <c r="B11" s="328" t="s">
        <v>872</v>
      </c>
      <c r="C11" s="289">
        <v>0</v>
      </c>
      <c r="D11" s="289">
        <v>0</v>
      </c>
      <c r="E11" s="289">
        <v>0</v>
      </c>
      <c r="F11" s="289">
        <v>0</v>
      </c>
      <c r="G11" s="289">
        <v>0</v>
      </c>
      <c r="H11" s="289">
        <v>0</v>
      </c>
      <c r="I11" s="289">
        <v>0</v>
      </c>
      <c r="J11" s="289">
        <v>0</v>
      </c>
      <c r="K11" s="289">
        <v>0</v>
      </c>
      <c r="L11" s="289">
        <v>0</v>
      </c>
    </row>
    <row r="12" spans="1:12" ht="15">
      <c r="A12" s="200">
        <v>4</v>
      </c>
      <c r="B12" s="328" t="s">
        <v>873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</row>
    <row r="13" spans="1:12" ht="15">
      <c r="A13" s="200">
        <v>5</v>
      </c>
      <c r="B13" s="328" t="s">
        <v>874</v>
      </c>
      <c r="C13" s="289">
        <v>0</v>
      </c>
      <c r="D13" s="289">
        <v>0</v>
      </c>
      <c r="E13" s="289">
        <v>0</v>
      </c>
      <c r="F13" s="289">
        <v>0</v>
      </c>
      <c r="G13" s="289">
        <v>0</v>
      </c>
      <c r="H13" s="289">
        <v>0</v>
      </c>
      <c r="I13" s="289">
        <v>0</v>
      </c>
      <c r="J13" s="289">
        <v>0</v>
      </c>
      <c r="K13" s="289">
        <v>0</v>
      </c>
      <c r="L13" s="289">
        <v>0</v>
      </c>
    </row>
    <row r="14" spans="1:12" ht="15">
      <c r="A14" s="200">
        <v>6</v>
      </c>
      <c r="B14" s="328" t="s">
        <v>875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</row>
    <row r="15" spans="1:12" ht="15">
      <c r="A15" s="200">
        <v>7</v>
      </c>
      <c r="B15" s="328" t="s">
        <v>876</v>
      </c>
      <c r="C15" s="289">
        <v>0</v>
      </c>
      <c r="D15" s="289">
        <v>0</v>
      </c>
      <c r="E15" s="289">
        <v>0</v>
      </c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289">
        <v>0</v>
      </c>
    </row>
    <row r="16" spans="1:12" ht="15">
      <c r="A16" s="200">
        <v>8</v>
      </c>
      <c r="B16" s="328" t="s">
        <v>877</v>
      </c>
      <c r="C16" s="289">
        <v>0</v>
      </c>
      <c r="D16" s="289">
        <v>0</v>
      </c>
      <c r="E16" s="289">
        <v>0</v>
      </c>
      <c r="F16" s="289">
        <v>0</v>
      </c>
      <c r="G16" s="289">
        <v>0</v>
      </c>
      <c r="H16" s="289">
        <v>0</v>
      </c>
      <c r="I16" s="289">
        <v>0</v>
      </c>
      <c r="J16" s="289">
        <v>0</v>
      </c>
      <c r="K16" s="289">
        <v>0</v>
      </c>
      <c r="L16" s="289">
        <v>0</v>
      </c>
    </row>
    <row r="17" spans="1:12" ht="15">
      <c r="A17" s="200">
        <v>9</v>
      </c>
      <c r="B17" s="328" t="s">
        <v>878</v>
      </c>
      <c r="C17" s="289">
        <v>0</v>
      </c>
      <c r="D17" s="289">
        <v>0</v>
      </c>
      <c r="E17" s="289">
        <v>0</v>
      </c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289">
        <v>0</v>
      </c>
    </row>
    <row r="18" spans="1:12" ht="15">
      <c r="A18" s="200">
        <v>10</v>
      </c>
      <c r="B18" s="328" t="s">
        <v>879</v>
      </c>
      <c r="C18" s="289"/>
      <c r="D18" s="289">
        <v>0</v>
      </c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</row>
    <row r="19" spans="1:12" ht="30">
      <c r="A19" s="200">
        <v>11</v>
      </c>
      <c r="B19" s="328" t="s">
        <v>880</v>
      </c>
      <c r="C19" s="289">
        <v>0</v>
      </c>
      <c r="D19" s="289">
        <v>0</v>
      </c>
      <c r="E19" s="289">
        <v>0</v>
      </c>
      <c r="F19" s="289">
        <v>5</v>
      </c>
      <c r="G19" s="289">
        <v>626</v>
      </c>
      <c r="H19" s="550" t="s">
        <v>983</v>
      </c>
      <c r="I19" s="289">
        <v>8150</v>
      </c>
      <c r="J19" s="289">
        <v>0</v>
      </c>
      <c r="K19" s="289">
        <v>0</v>
      </c>
      <c r="L19" s="289">
        <v>0</v>
      </c>
    </row>
    <row r="20" spans="1:12" ht="15">
      <c r="A20" s="200">
        <v>12</v>
      </c>
      <c r="B20" s="328" t="s">
        <v>881</v>
      </c>
      <c r="C20" s="289">
        <v>1032</v>
      </c>
      <c r="D20" s="289">
        <v>1200000</v>
      </c>
      <c r="E20" s="550" t="s">
        <v>991</v>
      </c>
      <c r="F20" s="289">
        <v>0</v>
      </c>
      <c r="G20" s="289">
        <v>0</v>
      </c>
      <c r="H20" s="289">
        <v>0</v>
      </c>
      <c r="I20" s="289">
        <v>0</v>
      </c>
      <c r="J20" s="289">
        <v>0</v>
      </c>
      <c r="K20" s="289">
        <v>0</v>
      </c>
      <c r="L20" s="289">
        <v>0</v>
      </c>
    </row>
    <row r="21" spans="1:12" ht="30">
      <c r="A21" s="200">
        <v>13</v>
      </c>
      <c r="B21" s="328" t="s">
        <v>882</v>
      </c>
      <c r="C21" s="289">
        <v>15</v>
      </c>
      <c r="D21" s="289">
        <v>1245</v>
      </c>
      <c r="E21" s="289">
        <v>25125</v>
      </c>
      <c r="F21" s="289">
        <v>164</v>
      </c>
      <c r="G21" s="289">
        <v>24482</v>
      </c>
      <c r="H21" s="550" t="s">
        <v>1000</v>
      </c>
      <c r="I21" s="289">
        <v>815458</v>
      </c>
      <c r="J21" s="289">
        <v>164</v>
      </c>
      <c r="K21" s="289">
        <v>15</v>
      </c>
      <c r="L21" s="289">
        <v>125125</v>
      </c>
    </row>
    <row r="22" spans="1:12" ht="15">
      <c r="A22" s="200">
        <v>14</v>
      </c>
      <c r="B22" s="328" t="s">
        <v>883</v>
      </c>
      <c r="C22" s="289">
        <v>0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  <c r="I22" s="289">
        <v>0</v>
      </c>
      <c r="J22" s="289">
        <v>0</v>
      </c>
      <c r="K22" s="289">
        <v>0</v>
      </c>
      <c r="L22" s="289">
        <v>0</v>
      </c>
    </row>
    <row r="23" spans="1:12" ht="15">
      <c r="A23" s="200">
        <v>15</v>
      </c>
      <c r="B23" s="328" t="s">
        <v>884</v>
      </c>
      <c r="C23" s="289">
        <v>324</v>
      </c>
      <c r="D23" s="289">
        <v>32255</v>
      </c>
      <c r="E23" s="289">
        <v>845670</v>
      </c>
      <c r="F23" s="289">
        <v>602</v>
      </c>
      <c r="G23" s="289">
        <v>53830</v>
      </c>
      <c r="H23" s="289">
        <v>0</v>
      </c>
      <c r="I23" s="289">
        <v>465673</v>
      </c>
      <c r="J23" s="289">
        <v>0</v>
      </c>
      <c r="K23" s="289">
        <v>0</v>
      </c>
      <c r="L23" s="289">
        <v>0</v>
      </c>
    </row>
    <row r="24" spans="1:12" ht="15">
      <c r="A24" s="200">
        <v>16</v>
      </c>
      <c r="B24" s="328" t="s">
        <v>885</v>
      </c>
      <c r="C24" s="289">
        <v>0</v>
      </c>
      <c r="D24" s="289"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289">
        <v>0</v>
      </c>
    </row>
    <row r="25" spans="1:12" ht="15">
      <c r="A25" s="200">
        <v>17</v>
      </c>
      <c r="B25" s="328" t="s">
        <v>886</v>
      </c>
      <c r="C25" s="289">
        <v>0</v>
      </c>
      <c r="D25" s="289">
        <v>0</v>
      </c>
      <c r="E25" s="289">
        <v>0</v>
      </c>
      <c r="F25" s="289">
        <v>0</v>
      </c>
      <c r="G25" s="289">
        <v>0</v>
      </c>
      <c r="H25" s="289">
        <v>0</v>
      </c>
      <c r="I25" s="289">
        <v>0</v>
      </c>
      <c r="J25" s="289">
        <v>0</v>
      </c>
      <c r="K25" s="289">
        <v>0</v>
      </c>
      <c r="L25" s="289">
        <v>0</v>
      </c>
    </row>
    <row r="26" spans="1:12" ht="30">
      <c r="A26" s="200">
        <v>18</v>
      </c>
      <c r="B26" s="360" t="s">
        <v>887</v>
      </c>
      <c r="C26" s="551">
        <v>0</v>
      </c>
      <c r="D26" s="551">
        <v>0</v>
      </c>
      <c r="E26" s="551">
        <v>0</v>
      </c>
      <c r="F26" s="551">
        <v>75</v>
      </c>
      <c r="G26" s="551">
        <v>27451</v>
      </c>
      <c r="H26" s="552" t="s">
        <v>959</v>
      </c>
      <c r="I26" s="551">
        <v>823000</v>
      </c>
      <c r="J26" s="289">
        <v>0</v>
      </c>
      <c r="K26" s="289">
        <v>0</v>
      </c>
      <c r="L26" s="289">
        <v>0</v>
      </c>
    </row>
    <row r="27" spans="1:12" ht="15">
      <c r="A27" s="200">
        <v>19</v>
      </c>
      <c r="B27" s="328" t="s">
        <v>888</v>
      </c>
      <c r="C27" s="289">
        <v>0</v>
      </c>
      <c r="D27" s="289">
        <v>0</v>
      </c>
      <c r="E27" s="289">
        <v>0</v>
      </c>
      <c r="F27" s="289">
        <v>0</v>
      </c>
      <c r="G27" s="289">
        <v>0</v>
      </c>
      <c r="H27" s="289">
        <v>0</v>
      </c>
      <c r="I27" s="289">
        <v>0</v>
      </c>
      <c r="J27" s="289">
        <v>0</v>
      </c>
      <c r="K27" s="289">
        <v>0</v>
      </c>
      <c r="L27" s="289">
        <v>0</v>
      </c>
    </row>
    <row r="28" spans="1:12" ht="15">
      <c r="A28" s="200">
        <v>20</v>
      </c>
      <c r="B28" s="328" t="s">
        <v>889</v>
      </c>
      <c r="C28" s="289">
        <v>0</v>
      </c>
      <c r="D28" s="289">
        <v>0</v>
      </c>
      <c r="E28" s="289">
        <v>0</v>
      </c>
      <c r="F28" s="289">
        <v>0</v>
      </c>
      <c r="G28" s="289">
        <v>0</v>
      </c>
      <c r="H28" s="289">
        <v>0</v>
      </c>
      <c r="I28" s="289">
        <v>0</v>
      </c>
      <c r="J28" s="289">
        <v>0</v>
      </c>
      <c r="K28" s="289">
        <v>0</v>
      </c>
      <c r="L28" s="289">
        <v>0</v>
      </c>
    </row>
    <row r="29" spans="1:12" ht="15">
      <c r="A29" s="200">
        <v>21</v>
      </c>
      <c r="B29" s="328" t="s">
        <v>890</v>
      </c>
      <c r="C29" s="289">
        <v>0</v>
      </c>
      <c r="D29" s="289">
        <v>0</v>
      </c>
      <c r="E29" s="289">
        <v>0</v>
      </c>
      <c r="F29" s="289"/>
      <c r="G29" s="289"/>
      <c r="H29" s="289"/>
      <c r="I29" s="289"/>
      <c r="J29" s="289"/>
      <c r="K29" s="289"/>
      <c r="L29" s="289"/>
    </row>
    <row r="30" spans="1:12" ht="30">
      <c r="A30" s="200">
        <v>22</v>
      </c>
      <c r="B30" s="328" t="s">
        <v>891</v>
      </c>
      <c r="C30" s="289">
        <v>0</v>
      </c>
      <c r="D30" s="289">
        <v>0</v>
      </c>
      <c r="E30" s="289">
        <v>0</v>
      </c>
      <c r="F30" s="289">
        <v>38</v>
      </c>
      <c r="G30" s="289">
        <v>1085</v>
      </c>
      <c r="H30" s="550" t="s">
        <v>980</v>
      </c>
      <c r="I30" s="289">
        <v>4481</v>
      </c>
      <c r="J30" s="289"/>
      <c r="K30" s="289"/>
      <c r="L30" s="289"/>
    </row>
    <row r="31" spans="1:12" ht="15">
      <c r="A31" s="200">
        <v>23</v>
      </c>
      <c r="B31" s="328" t="s">
        <v>892</v>
      </c>
      <c r="C31" s="289">
        <v>0</v>
      </c>
      <c r="D31" s="289">
        <v>0</v>
      </c>
      <c r="E31" s="289">
        <v>0</v>
      </c>
      <c r="F31" s="289">
        <v>0</v>
      </c>
      <c r="G31" s="289">
        <v>0</v>
      </c>
      <c r="H31" s="289">
        <v>0</v>
      </c>
      <c r="I31" s="289">
        <v>0</v>
      </c>
      <c r="J31" s="289">
        <v>0</v>
      </c>
      <c r="K31" s="289">
        <v>0</v>
      </c>
      <c r="L31" s="289">
        <v>0</v>
      </c>
    </row>
    <row r="32" spans="1:12" ht="30">
      <c r="A32" s="200">
        <v>24</v>
      </c>
      <c r="B32" s="328" t="s">
        <v>893</v>
      </c>
      <c r="C32" s="289">
        <v>0</v>
      </c>
      <c r="D32" s="289">
        <v>0</v>
      </c>
      <c r="E32" s="289">
        <v>0</v>
      </c>
      <c r="F32" s="289">
        <v>4527</v>
      </c>
      <c r="G32" s="289">
        <v>217392</v>
      </c>
      <c r="H32" s="550" t="s">
        <v>980</v>
      </c>
      <c r="I32" s="289">
        <f>G32*6</f>
        <v>1304352</v>
      </c>
      <c r="J32" s="289">
        <v>0</v>
      </c>
      <c r="K32" s="289">
        <v>0</v>
      </c>
      <c r="L32" s="289">
        <v>0</v>
      </c>
    </row>
    <row r="33" spans="1:12" ht="15">
      <c r="A33" s="200">
        <v>25</v>
      </c>
      <c r="B33" s="328" t="s">
        <v>894</v>
      </c>
      <c r="C33" s="289">
        <v>0</v>
      </c>
      <c r="D33" s="289">
        <v>0</v>
      </c>
      <c r="E33" s="289">
        <v>0</v>
      </c>
      <c r="F33" s="289">
        <v>0</v>
      </c>
      <c r="G33" s="289">
        <v>0</v>
      </c>
      <c r="H33" s="289">
        <v>0</v>
      </c>
      <c r="I33" s="289">
        <v>0</v>
      </c>
      <c r="J33" s="289">
        <v>0</v>
      </c>
      <c r="K33" s="289">
        <v>0</v>
      </c>
      <c r="L33" s="289">
        <v>0</v>
      </c>
    </row>
    <row r="34" spans="1:14" ht="15">
      <c r="A34" s="200">
        <v>26</v>
      </c>
      <c r="B34" s="328" t="s">
        <v>895</v>
      </c>
      <c r="C34" s="20">
        <v>430</v>
      </c>
      <c r="D34" s="20">
        <v>23396</v>
      </c>
      <c r="E34" s="20">
        <f>D34*50</f>
        <v>1169800</v>
      </c>
      <c r="F34" s="20">
        <v>385</v>
      </c>
      <c r="G34" s="20">
        <v>18865</v>
      </c>
      <c r="H34" s="20" t="s">
        <v>994</v>
      </c>
      <c r="I34" s="20">
        <v>25000</v>
      </c>
      <c r="J34" s="20">
        <v>0</v>
      </c>
      <c r="K34" s="20">
        <v>0</v>
      </c>
      <c r="L34" s="20">
        <v>0</v>
      </c>
      <c r="N34" t="s">
        <v>11</v>
      </c>
    </row>
    <row r="35" spans="1:12" ht="30">
      <c r="A35" s="200">
        <v>27</v>
      </c>
      <c r="B35" s="328" t="s">
        <v>896</v>
      </c>
      <c r="C35" s="20">
        <v>0</v>
      </c>
      <c r="D35" s="20">
        <v>0</v>
      </c>
      <c r="E35" s="20">
        <v>0</v>
      </c>
      <c r="F35" s="20">
        <v>414</v>
      </c>
      <c r="G35" s="20">
        <v>73067</v>
      </c>
      <c r="H35" s="552" t="s">
        <v>978</v>
      </c>
      <c r="I35" s="20">
        <v>691157</v>
      </c>
      <c r="J35" s="20">
        <v>0</v>
      </c>
      <c r="K35" s="20">
        <v>0</v>
      </c>
      <c r="L35" s="20">
        <v>0</v>
      </c>
    </row>
    <row r="36" spans="1:12" ht="15">
      <c r="A36" s="200">
        <v>28</v>
      </c>
      <c r="B36" s="328" t="s">
        <v>897</v>
      </c>
      <c r="C36" s="9">
        <v>0</v>
      </c>
      <c r="D36" s="9">
        <v>0</v>
      </c>
      <c r="E36" s="9">
        <v>0</v>
      </c>
      <c r="F36" s="9">
        <v>641</v>
      </c>
      <c r="G36" s="9">
        <v>40918</v>
      </c>
      <c r="H36" s="20" t="s">
        <v>979</v>
      </c>
      <c r="I36" s="9">
        <v>164376</v>
      </c>
      <c r="J36" s="9">
        <v>0</v>
      </c>
      <c r="K36" s="9">
        <v>0</v>
      </c>
      <c r="L36" s="9">
        <v>0</v>
      </c>
    </row>
    <row r="37" spans="1:12" ht="15">
      <c r="A37" s="200">
        <v>29</v>
      </c>
      <c r="B37" s="328" t="s">
        <v>898</v>
      </c>
      <c r="C37" s="9">
        <v>0</v>
      </c>
      <c r="D37" s="9">
        <v>0</v>
      </c>
      <c r="E37" s="9">
        <v>0</v>
      </c>
      <c r="F37" s="9">
        <v>3</v>
      </c>
      <c r="G37" s="9">
        <v>85</v>
      </c>
      <c r="H37" s="9" t="s">
        <v>964</v>
      </c>
      <c r="I37" s="9">
        <v>2550</v>
      </c>
      <c r="J37" s="9">
        <v>0</v>
      </c>
      <c r="K37" s="9">
        <v>0</v>
      </c>
      <c r="L37" s="9">
        <v>0</v>
      </c>
    </row>
    <row r="38" spans="1:12" ht="15">
      <c r="A38" s="200">
        <v>30</v>
      </c>
      <c r="B38" s="328" t="s">
        <v>899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1:12" ht="15">
      <c r="A39" s="200">
        <v>31</v>
      </c>
      <c r="B39" s="328" t="s">
        <v>900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1:12" ht="15">
      <c r="A40" s="200">
        <v>32</v>
      </c>
      <c r="B40" s="328" t="s">
        <v>901</v>
      </c>
      <c r="C40" s="9">
        <v>0</v>
      </c>
      <c r="D40" s="9">
        <v>0</v>
      </c>
      <c r="E40" s="9">
        <v>0</v>
      </c>
      <c r="F40" s="9">
        <v>150</v>
      </c>
      <c r="G40" s="9">
        <v>35755</v>
      </c>
      <c r="H40" s="9" t="s">
        <v>974</v>
      </c>
      <c r="I40" s="9">
        <f>G40*5</f>
        <v>178775</v>
      </c>
      <c r="J40" s="9">
        <v>0</v>
      </c>
      <c r="K40" s="9">
        <v>0</v>
      </c>
      <c r="L40" s="9">
        <v>0</v>
      </c>
    </row>
    <row r="41" spans="1:12" ht="15">
      <c r="A41" s="200">
        <v>33</v>
      </c>
      <c r="B41" s="328" t="s">
        <v>902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1:12" ht="15">
      <c r="A42" s="200">
        <v>34</v>
      </c>
      <c r="B42" s="328" t="s">
        <v>903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</row>
    <row r="43" spans="1:12" ht="15">
      <c r="A43" s="200">
        <v>35</v>
      </c>
      <c r="B43" s="328" t="s">
        <v>904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5">
      <c r="A44" s="200"/>
      <c r="B44" s="9" t="s">
        <v>19</v>
      </c>
      <c r="C44" s="9">
        <f>SUM(C19:C43)</f>
        <v>1801</v>
      </c>
      <c r="D44" s="9">
        <f aca="true" t="shared" si="0" ref="D44:L44">SUM(D19:D43)</f>
        <v>1256896</v>
      </c>
      <c r="E44" s="9">
        <f t="shared" si="0"/>
        <v>2040595</v>
      </c>
      <c r="F44" s="9">
        <f t="shared" si="0"/>
        <v>7004</v>
      </c>
      <c r="G44" s="9">
        <f t="shared" si="0"/>
        <v>493556</v>
      </c>
      <c r="H44" s="9"/>
      <c r="I44" s="9">
        <f t="shared" si="0"/>
        <v>4482972</v>
      </c>
      <c r="J44" s="9">
        <f t="shared" si="0"/>
        <v>164</v>
      </c>
      <c r="K44" s="9">
        <f t="shared" si="0"/>
        <v>15</v>
      </c>
      <c r="L44" s="9">
        <f t="shared" si="0"/>
        <v>125125</v>
      </c>
    </row>
    <row r="47" spans="1:12" ht="12.75" customHeight="1">
      <c r="A47" s="203"/>
      <c r="B47" s="203"/>
      <c r="C47" s="203"/>
      <c r="D47" s="203"/>
      <c r="E47" s="203"/>
      <c r="F47" s="203"/>
      <c r="K47" s="204"/>
      <c r="L47" s="204"/>
    </row>
    <row r="48" spans="1:12" ht="12.75" customHeight="1">
      <c r="A48" s="203"/>
      <c r="B48" s="203"/>
      <c r="C48" s="748" t="s">
        <v>1021</v>
      </c>
      <c r="D48" s="748"/>
      <c r="E48" s="748"/>
      <c r="F48" s="83"/>
      <c r="J48" s="748" t="s">
        <v>1024</v>
      </c>
      <c r="K48" s="748"/>
      <c r="L48" s="748"/>
    </row>
    <row r="49" spans="1:12" ht="12.75" customHeight="1">
      <c r="A49" s="203"/>
      <c r="B49" s="203"/>
      <c r="C49" s="748" t="s">
        <v>1022</v>
      </c>
      <c r="D49" s="748"/>
      <c r="E49" s="748"/>
      <c r="F49" s="83"/>
      <c r="J49" s="748" t="s">
        <v>1025</v>
      </c>
      <c r="K49" s="748"/>
      <c r="L49" s="748"/>
    </row>
    <row r="50" spans="1:12" ht="12.75">
      <c r="A50" s="203" t="s">
        <v>12</v>
      </c>
      <c r="C50" s="735" t="s">
        <v>1023</v>
      </c>
      <c r="D50" s="735"/>
      <c r="E50" s="735"/>
      <c r="F50" s="36"/>
      <c r="J50" s="735" t="s">
        <v>1023</v>
      </c>
      <c r="K50" s="735"/>
      <c r="L50" s="735"/>
    </row>
    <row r="51" spans="11:12" ht="12.75">
      <c r="K51" s="204"/>
      <c r="L51" s="204"/>
    </row>
    <row r="52" spans="11:12" ht="12.75">
      <c r="K52" s="204"/>
      <c r="L52" s="204"/>
    </row>
  </sheetData>
  <sheetProtection/>
  <mergeCells count="15">
    <mergeCell ref="A1:K1"/>
    <mergeCell ref="C6:E6"/>
    <mergeCell ref="F6:I6"/>
    <mergeCell ref="J6:L6"/>
    <mergeCell ref="A6:A7"/>
    <mergeCell ref="B6:B7"/>
    <mergeCell ref="A2:K2"/>
    <mergeCell ref="A4:K4"/>
    <mergeCell ref="J5:L5"/>
    <mergeCell ref="C49:E49"/>
    <mergeCell ref="C50:E50"/>
    <mergeCell ref="J48:L48"/>
    <mergeCell ref="J49:L49"/>
    <mergeCell ref="J50:L50"/>
    <mergeCell ref="C48:E48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zoomScale="80" zoomScaleSheetLayoutView="80" zoomScalePageLayoutView="0" workbookViewId="0" topLeftCell="A2">
      <pane xSplit="2" ySplit="7" topLeftCell="C39" activePane="bottomRight" state="frozen"/>
      <selection pane="topLeft" activeCell="A2" sqref="A2"/>
      <selection pane="topRight" activeCell="C2" sqref="C2"/>
      <selection pane="bottomLeft" activeCell="A9" sqref="A9"/>
      <selection pane="bottomRight" activeCell="C50" sqref="C50:E50"/>
    </sheetView>
  </sheetViews>
  <sheetFormatPr defaultColWidth="9.140625" defaultRowHeight="12.75"/>
  <cols>
    <col min="1" max="1" width="7.7109375" style="0" customWidth="1"/>
    <col min="2" max="2" width="14.00390625" style="0" customWidth="1"/>
    <col min="3" max="4" width="12.7109375" style="0" customWidth="1"/>
    <col min="5" max="5" width="12.8515625" style="0" customWidth="1"/>
    <col min="6" max="6" width="13.28125" style="0" customWidth="1"/>
    <col min="7" max="7" width="13.7109375" style="0" customWidth="1"/>
    <col min="8" max="8" width="12.421875" style="0" customWidth="1"/>
    <col min="9" max="9" width="15.57421875" style="0" customWidth="1"/>
    <col min="10" max="10" width="12.421875" style="0" customWidth="1"/>
    <col min="11" max="11" width="14.28125" style="0" customWidth="1"/>
  </cols>
  <sheetData>
    <row r="1" spans="1:11" ht="18">
      <c r="A1" s="801" t="s">
        <v>0</v>
      </c>
      <c r="B1" s="801"/>
      <c r="C1" s="801"/>
      <c r="D1" s="801"/>
      <c r="E1" s="801"/>
      <c r="F1" s="801"/>
      <c r="G1" s="801"/>
      <c r="H1" s="801"/>
      <c r="I1" s="297"/>
      <c r="J1" s="297"/>
      <c r="K1" s="236" t="s">
        <v>541</v>
      </c>
    </row>
    <row r="2" spans="1:10" ht="21">
      <c r="A2" s="802" t="s">
        <v>656</v>
      </c>
      <c r="B2" s="802"/>
      <c r="C2" s="802"/>
      <c r="D2" s="802"/>
      <c r="E2" s="802"/>
      <c r="F2" s="802"/>
      <c r="G2" s="802"/>
      <c r="H2" s="802"/>
      <c r="I2" s="195"/>
      <c r="J2" s="195"/>
    </row>
    <row r="3" spans="1:10" ht="15">
      <c r="A3" s="196"/>
      <c r="B3" s="196"/>
      <c r="C3" s="196"/>
      <c r="D3" s="196"/>
      <c r="E3" s="196"/>
      <c r="F3" s="196"/>
      <c r="G3" s="196"/>
      <c r="H3" s="196"/>
      <c r="I3" s="196"/>
      <c r="J3" s="196"/>
    </row>
    <row r="4" spans="1:10" ht="18">
      <c r="A4" s="801" t="s">
        <v>540</v>
      </c>
      <c r="B4" s="801"/>
      <c r="C4" s="801"/>
      <c r="D4" s="801"/>
      <c r="E4" s="801"/>
      <c r="F4" s="801"/>
      <c r="G4" s="801"/>
      <c r="H4" s="801"/>
      <c r="I4" s="297"/>
      <c r="J4" s="297"/>
    </row>
    <row r="5" spans="1:11" ht="15">
      <c r="A5" s="208" t="s">
        <v>1020</v>
      </c>
      <c r="B5" s="208"/>
      <c r="C5" s="209"/>
      <c r="D5" s="197"/>
      <c r="E5" s="197"/>
      <c r="F5" s="197"/>
      <c r="G5" s="951" t="s">
        <v>820</v>
      </c>
      <c r="H5" s="951"/>
      <c r="I5" s="951"/>
      <c r="J5" s="951"/>
      <c r="K5" s="951"/>
    </row>
    <row r="6" spans="1:11" ht="21.75" customHeight="1">
      <c r="A6" s="915" t="s">
        <v>2</v>
      </c>
      <c r="B6" s="915" t="s">
        <v>37</v>
      </c>
      <c r="C6" s="696" t="s">
        <v>499</v>
      </c>
      <c r="D6" s="697"/>
      <c r="E6" s="698"/>
      <c r="F6" s="696" t="s">
        <v>502</v>
      </c>
      <c r="G6" s="697"/>
      <c r="H6" s="698"/>
      <c r="I6" s="808" t="s">
        <v>718</v>
      </c>
      <c r="J6" s="808" t="s">
        <v>717</v>
      </c>
      <c r="K6" s="808" t="s">
        <v>78</v>
      </c>
    </row>
    <row r="7" spans="1:11" ht="26.25" customHeight="1">
      <c r="A7" s="916"/>
      <c r="B7" s="916"/>
      <c r="C7" s="5" t="s">
        <v>498</v>
      </c>
      <c r="D7" s="5" t="s">
        <v>500</v>
      </c>
      <c r="E7" s="5" t="s">
        <v>501</v>
      </c>
      <c r="F7" s="5" t="s">
        <v>498</v>
      </c>
      <c r="G7" s="5" t="s">
        <v>500</v>
      </c>
      <c r="H7" s="5" t="s">
        <v>501</v>
      </c>
      <c r="I7" s="809"/>
      <c r="J7" s="809"/>
      <c r="K7" s="809"/>
    </row>
    <row r="8" spans="1:11" ht="15">
      <c r="A8" s="290">
        <v>1</v>
      </c>
      <c r="B8" s="290">
        <v>2</v>
      </c>
      <c r="C8" s="290">
        <v>3</v>
      </c>
      <c r="D8" s="290">
        <v>4</v>
      </c>
      <c r="E8" s="290">
        <v>5</v>
      </c>
      <c r="F8" s="290">
        <v>6</v>
      </c>
      <c r="G8" s="290">
        <v>7</v>
      </c>
      <c r="H8" s="290">
        <v>8</v>
      </c>
      <c r="I8" s="290">
        <v>9</v>
      </c>
      <c r="J8" s="290">
        <v>10</v>
      </c>
      <c r="K8" s="290">
        <v>11</v>
      </c>
    </row>
    <row r="9" spans="1:11" ht="15">
      <c r="A9" s="289">
        <v>1</v>
      </c>
      <c r="B9" s="328" t="s">
        <v>870</v>
      </c>
      <c r="C9" s="377">
        <v>0</v>
      </c>
      <c r="D9" s="377">
        <v>0</v>
      </c>
      <c r="E9" s="377">
        <v>0</v>
      </c>
      <c r="F9" s="377">
        <v>0</v>
      </c>
      <c r="G9" s="377">
        <v>0</v>
      </c>
      <c r="H9" s="377">
        <v>0</v>
      </c>
      <c r="I9" s="377">
        <v>0</v>
      </c>
      <c r="J9" s="377">
        <v>0</v>
      </c>
      <c r="K9" s="378">
        <v>0</v>
      </c>
    </row>
    <row r="10" spans="1:11" ht="15">
      <c r="A10" s="289">
        <v>2</v>
      </c>
      <c r="B10" s="328" t="s">
        <v>871</v>
      </c>
      <c r="C10" s="377">
        <v>0</v>
      </c>
      <c r="D10" s="377">
        <v>0</v>
      </c>
      <c r="E10" s="377">
        <v>0</v>
      </c>
      <c r="F10" s="377">
        <v>0</v>
      </c>
      <c r="G10" s="377">
        <v>0</v>
      </c>
      <c r="H10" s="377">
        <v>0</v>
      </c>
      <c r="I10" s="377">
        <v>0</v>
      </c>
      <c r="J10" s="377">
        <v>0</v>
      </c>
      <c r="K10" s="378">
        <v>0</v>
      </c>
    </row>
    <row r="11" spans="1:11" ht="15">
      <c r="A11" s="289">
        <v>3</v>
      </c>
      <c r="B11" s="328" t="s">
        <v>872</v>
      </c>
      <c r="C11" s="377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377">
        <v>0</v>
      </c>
      <c r="K11" s="378">
        <v>0</v>
      </c>
    </row>
    <row r="12" spans="1:11" ht="15">
      <c r="A12" s="289">
        <v>4</v>
      </c>
      <c r="B12" s="328" t="s">
        <v>873</v>
      </c>
      <c r="C12" s="377">
        <v>0</v>
      </c>
      <c r="D12" s="377">
        <v>0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8">
        <v>0</v>
      </c>
    </row>
    <row r="13" spans="1:11" ht="15">
      <c r="A13" s="289">
        <v>5</v>
      </c>
      <c r="B13" s="328" t="s">
        <v>874</v>
      </c>
      <c r="C13" s="377">
        <v>0</v>
      </c>
      <c r="D13" s="377">
        <v>0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8">
        <v>0</v>
      </c>
    </row>
    <row r="14" spans="1:11" ht="15">
      <c r="A14" s="289">
        <v>6</v>
      </c>
      <c r="B14" s="328" t="s">
        <v>875</v>
      </c>
      <c r="C14" s="377">
        <v>0</v>
      </c>
      <c r="D14" s="377">
        <v>0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8">
        <v>0</v>
      </c>
    </row>
    <row r="15" spans="1:11" ht="15">
      <c r="A15" s="289">
        <v>7</v>
      </c>
      <c r="B15" s="328" t="s">
        <v>876</v>
      </c>
      <c r="C15" s="377">
        <v>0</v>
      </c>
      <c r="D15" s="377">
        <v>0</v>
      </c>
      <c r="E15" s="377">
        <v>0</v>
      </c>
      <c r="F15" s="377">
        <v>0</v>
      </c>
      <c r="G15" s="377">
        <v>0</v>
      </c>
      <c r="H15" s="377">
        <v>0</v>
      </c>
      <c r="I15" s="377">
        <v>0</v>
      </c>
      <c r="J15" s="377">
        <v>0</v>
      </c>
      <c r="K15" s="378">
        <v>0</v>
      </c>
    </row>
    <row r="16" spans="1:11" ht="15">
      <c r="A16" s="289">
        <v>8</v>
      </c>
      <c r="B16" s="328" t="s">
        <v>877</v>
      </c>
      <c r="C16" s="377">
        <v>0</v>
      </c>
      <c r="D16" s="377">
        <v>0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8">
        <v>0</v>
      </c>
    </row>
    <row r="17" spans="1:13" ht="15">
      <c r="A17" s="289">
        <v>9</v>
      </c>
      <c r="B17" s="328" t="s">
        <v>878</v>
      </c>
      <c r="C17" s="377">
        <v>0</v>
      </c>
      <c r="D17" s="377">
        <v>0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8">
        <v>0</v>
      </c>
      <c r="M17" t="s">
        <v>11</v>
      </c>
    </row>
    <row r="18" spans="1:11" ht="15">
      <c r="A18" s="289">
        <v>10</v>
      </c>
      <c r="B18" s="328" t="s">
        <v>879</v>
      </c>
      <c r="C18" s="377">
        <v>0</v>
      </c>
      <c r="D18" s="377">
        <v>0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8">
        <v>0</v>
      </c>
    </row>
    <row r="19" spans="1:11" ht="15">
      <c r="A19" s="289">
        <v>11</v>
      </c>
      <c r="B19" s="328" t="s">
        <v>880</v>
      </c>
      <c r="C19" s="377">
        <v>0</v>
      </c>
      <c r="D19" s="377">
        <v>0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8">
        <v>0</v>
      </c>
    </row>
    <row r="20" spans="1:11" ht="15">
      <c r="A20" s="289">
        <v>12</v>
      </c>
      <c r="B20" s="328" t="s">
        <v>881</v>
      </c>
      <c r="C20" s="377">
        <v>0</v>
      </c>
      <c r="D20" s="377">
        <v>0</v>
      </c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8">
        <v>0</v>
      </c>
    </row>
    <row r="21" spans="1:11" ht="15">
      <c r="A21" s="289">
        <v>13</v>
      </c>
      <c r="B21" s="328" t="s">
        <v>882</v>
      </c>
      <c r="C21" s="377">
        <v>0</v>
      </c>
      <c r="D21" s="377">
        <v>0</v>
      </c>
      <c r="E21" s="377">
        <v>0</v>
      </c>
      <c r="F21" s="377">
        <v>0</v>
      </c>
      <c r="G21" s="377">
        <v>0</v>
      </c>
      <c r="H21" s="377">
        <v>0</v>
      </c>
      <c r="I21" s="377">
        <v>0</v>
      </c>
      <c r="J21" s="377">
        <v>0</v>
      </c>
      <c r="K21" s="378">
        <v>0</v>
      </c>
    </row>
    <row r="22" spans="1:11" ht="15">
      <c r="A22" s="289">
        <v>14</v>
      </c>
      <c r="B22" s="328" t="s">
        <v>883</v>
      </c>
      <c r="C22" s="377">
        <v>0</v>
      </c>
      <c r="D22" s="377">
        <v>0</v>
      </c>
      <c r="E22" s="377">
        <v>0</v>
      </c>
      <c r="F22" s="377">
        <v>0</v>
      </c>
      <c r="G22" s="377">
        <v>0</v>
      </c>
      <c r="H22" s="377">
        <v>0</v>
      </c>
      <c r="I22" s="377">
        <v>0</v>
      </c>
      <c r="J22" s="377">
        <v>0</v>
      </c>
      <c r="K22" s="378">
        <v>0</v>
      </c>
    </row>
    <row r="23" spans="1:11" ht="15">
      <c r="A23" s="289">
        <v>15</v>
      </c>
      <c r="B23" s="328" t="s">
        <v>884</v>
      </c>
      <c r="C23" s="377">
        <v>0</v>
      </c>
      <c r="D23" s="377">
        <v>0</v>
      </c>
      <c r="E23" s="377">
        <v>0</v>
      </c>
      <c r="F23" s="377">
        <v>0</v>
      </c>
      <c r="G23" s="377">
        <v>0</v>
      </c>
      <c r="H23" s="377">
        <v>0</v>
      </c>
      <c r="I23" s="377">
        <v>0</v>
      </c>
      <c r="J23" s="377">
        <v>0</v>
      </c>
      <c r="K23" s="378">
        <v>0</v>
      </c>
    </row>
    <row r="24" spans="1:11" ht="15">
      <c r="A24" s="289">
        <v>16</v>
      </c>
      <c r="B24" s="328" t="s">
        <v>885</v>
      </c>
      <c r="C24" s="377">
        <v>0</v>
      </c>
      <c r="D24" s="377">
        <v>0</v>
      </c>
      <c r="E24" s="377">
        <v>0</v>
      </c>
      <c r="F24" s="377">
        <v>0</v>
      </c>
      <c r="G24" s="377">
        <v>0</v>
      </c>
      <c r="H24" s="377">
        <v>0</v>
      </c>
      <c r="I24" s="377">
        <v>0</v>
      </c>
      <c r="J24" s="377">
        <v>0</v>
      </c>
      <c r="K24" s="378">
        <v>0</v>
      </c>
    </row>
    <row r="25" spans="1:11" ht="15">
      <c r="A25" s="289">
        <v>17</v>
      </c>
      <c r="B25" s="328" t="s">
        <v>886</v>
      </c>
      <c r="C25" s="377">
        <v>0</v>
      </c>
      <c r="D25" s="377">
        <v>0</v>
      </c>
      <c r="E25" s="377">
        <v>0</v>
      </c>
      <c r="F25" s="377">
        <v>0</v>
      </c>
      <c r="G25" s="377">
        <v>0</v>
      </c>
      <c r="H25" s="377">
        <v>0</v>
      </c>
      <c r="I25" s="377">
        <v>0</v>
      </c>
      <c r="J25" s="377">
        <v>0</v>
      </c>
      <c r="K25" s="378">
        <v>0</v>
      </c>
    </row>
    <row r="26" spans="1:11" ht="15">
      <c r="A26" s="289">
        <v>18</v>
      </c>
      <c r="B26" s="328" t="s">
        <v>887</v>
      </c>
      <c r="C26" s="377">
        <v>0</v>
      </c>
      <c r="D26" s="377">
        <v>0</v>
      </c>
      <c r="E26" s="377">
        <v>0</v>
      </c>
      <c r="F26" s="377">
        <v>0</v>
      </c>
      <c r="G26" s="377">
        <v>0</v>
      </c>
      <c r="H26" s="377">
        <v>0</v>
      </c>
      <c r="I26" s="377">
        <v>0</v>
      </c>
      <c r="J26" s="377">
        <v>0</v>
      </c>
      <c r="K26" s="378">
        <v>0</v>
      </c>
    </row>
    <row r="27" spans="1:11" ht="15">
      <c r="A27" s="289">
        <v>19</v>
      </c>
      <c r="B27" s="328" t="s">
        <v>888</v>
      </c>
      <c r="C27" s="377">
        <v>0</v>
      </c>
      <c r="D27" s="377">
        <v>0</v>
      </c>
      <c r="E27" s="377">
        <v>0</v>
      </c>
      <c r="F27" s="377">
        <v>0</v>
      </c>
      <c r="G27" s="377">
        <v>0</v>
      </c>
      <c r="H27" s="377">
        <v>0</v>
      </c>
      <c r="I27" s="377">
        <v>0</v>
      </c>
      <c r="J27" s="377">
        <v>0</v>
      </c>
      <c r="K27" s="378">
        <v>0</v>
      </c>
    </row>
    <row r="28" spans="1:11" ht="15">
      <c r="A28" s="289">
        <v>20</v>
      </c>
      <c r="B28" s="328" t="s">
        <v>889</v>
      </c>
      <c r="C28" s="377">
        <v>0</v>
      </c>
      <c r="D28" s="377">
        <v>0</v>
      </c>
      <c r="E28" s="377">
        <v>0</v>
      </c>
      <c r="F28" s="377">
        <v>0</v>
      </c>
      <c r="G28" s="377">
        <v>0</v>
      </c>
      <c r="H28" s="377">
        <v>0</v>
      </c>
      <c r="I28" s="377">
        <v>0</v>
      </c>
      <c r="J28" s="377">
        <v>0</v>
      </c>
      <c r="K28" s="378">
        <v>0</v>
      </c>
    </row>
    <row r="29" spans="1:11" ht="15">
      <c r="A29" s="289">
        <v>21</v>
      </c>
      <c r="B29" s="328" t="s">
        <v>890</v>
      </c>
      <c r="C29" s="377">
        <v>0</v>
      </c>
      <c r="D29" s="377">
        <v>0</v>
      </c>
      <c r="E29" s="377">
        <v>0</v>
      </c>
      <c r="F29" s="377">
        <v>0</v>
      </c>
      <c r="G29" s="377">
        <v>0</v>
      </c>
      <c r="H29" s="377">
        <v>0</v>
      </c>
      <c r="I29" s="377">
        <v>0</v>
      </c>
      <c r="J29" s="377">
        <v>0</v>
      </c>
      <c r="K29" s="378">
        <v>0</v>
      </c>
    </row>
    <row r="30" spans="1:11" ht="15">
      <c r="A30" s="289">
        <v>22</v>
      </c>
      <c r="B30" s="328" t="s">
        <v>891</v>
      </c>
      <c r="C30" s="377">
        <v>0</v>
      </c>
      <c r="D30" s="377">
        <v>0</v>
      </c>
      <c r="E30" s="377">
        <v>0</v>
      </c>
      <c r="F30" s="377">
        <v>0</v>
      </c>
      <c r="G30" s="377">
        <v>0</v>
      </c>
      <c r="H30" s="377">
        <v>0</v>
      </c>
      <c r="I30" s="377">
        <v>0</v>
      </c>
      <c r="J30" s="377">
        <v>0</v>
      </c>
      <c r="K30" s="378">
        <v>0</v>
      </c>
    </row>
    <row r="31" spans="1:11" ht="15">
      <c r="A31" s="289">
        <v>23</v>
      </c>
      <c r="B31" s="328" t="s">
        <v>892</v>
      </c>
      <c r="C31" s="377">
        <v>0</v>
      </c>
      <c r="D31" s="377">
        <v>0</v>
      </c>
      <c r="E31" s="377">
        <v>0</v>
      </c>
      <c r="F31" s="377">
        <v>0</v>
      </c>
      <c r="G31" s="377">
        <v>0</v>
      </c>
      <c r="H31" s="377">
        <v>0</v>
      </c>
      <c r="I31" s="377">
        <v>0</v>
      </c>
      <c r="J31" s="377">
        <v>0</v>
      </c>
      <c r="K31" s="378">
        <v>0</v>
      </c>
    </row>
    <row r="32" spans="1:11" ht="15">
      <c r="A32" s="289">
        <v>24</v>
      </c>
      <c r="B32" s="328" t="s">
        <v>893</v>
      </c>
      <c r="C32" s="377">
        <v>0</v>
      </c>
      <c r="D32" s="377">
        <v>0</v>
      </c>
      <c r="E32" s="377">
        <v>0</v>
      </c>
      <c r="F32" s="377">
        <v>0</v>
      </c>
      <c r="G32" s="377">
        <v>0</v>
      </c>
      <c r="H32" s="377">
        <v>0</v>
      </c>
      <c r="I32" s="377">
        <v>0</v>
      </c>
      <c r="J32" s="377">
        <v>0</v>
      </c>
      <c r="K32" s="378">
        <v>0</v>
      </c>
    </row>
    <row r="33" spans="1:11" ht="15">
      <c r="A33" s="289">
        <v>25</v>
      </c>
      <c r="B33" s="328" t="s">
        <v>894</v>
      </c>
      <c r="C33" s="377">
        <v>0</v>
      </c>
      <c r="D33" s="377">
        <v>0</v>
      </c>
      <c r="E33" s="377">
        <v>0</v>
      </c>
      <c r="F33" s="377">
        <v>0</v>
      </c>
      <c r="G33" s="377">
        <v>0</v>
      </c>
      <c r="H33" s="377">
        <v>0</v>
      </c>
      <c r="I33" s="377">
        <v>0</v>
      </c>
      <c r="J33" s="377">
        <v>0</v>
      </c>
      <c r="K33" s="378">
        <v>0</v>
      </c>
    </row>
    <row r="34" spans="1:11" ht="15">
      <c r="A34" s="289">
        <v>26</v>
      </c>
      <c r="B34" s="328" t="s">
        <v>895</v>
      </c>
      <c r="C34" s="377">
        <v>0</v>
      </c>
      <c r="D34" s="377">
        <v>0</v>
      </c>
      <c r="E34" s="377">
        <v>0</v>
      </c>
      <c r="F34" s="377">
        <v>0</v>
      </c>
      <c r="G34" s="377">
        <v>0</v>
      </c>
      <c r="H34" s="377">
        <v>0</v>
      </c>
      <c r="I34" s="377">
        <v>0</v>
      </c>
      <c r="J34" s="377">
        <v>0</v>
      </c>
      <c r="K34" s="378">
        <v>0</v>
      </c>
    </row>
    <row r="35" spans="1:11" ht="15">
      <c r="A35" s="289">
        <v>27</v>
      </c>
      <c r="B35" s="328" t="s">
        <v>896</v>
      </c>
      <c r="C35" s="377">
        <v>0</v>
      </c>
      <c r="D35" s="377">
        <v>0</v>
      </c>
      <c r="E35" s="377">
        <v>0</v>
      </c>
      <c r="F35" s="377">
        <v>0</v>
      </c>
      <c r="G35" s="377">
        <v>0</v>
      </c>
      <c r="H35" s="377">
        <v>0</v>
      </c>
      <c r="I35" s="377">
        <v>0</v>
      </c>
      <c r="J35" s="377">
        <v>0</v>
      </c>
      <c r="K35" s="378">
        <v>0</v>
      </c>
    </row>
    <row r="36" spans="1:11" ht="15">
      <c r="A36" s="289">
        <v>28</v>
      </c>
      <c r="B36" s="328" t="s">
        <v>897</v>
      </c>
      <c r="C36" s="377">
        <v>0</v>
      </c>
      <c r="D36" s="377">
        <v>0</v>
      </c>
      <c r="E36" s="377">
        <v>0</v>
      </c>
      <c r="F36" s="377">
        <v>0</v>
      </c>
      <c r="G36" s="377">
        <v>0</v>
      </c>
      <c r="H36" s="377">
        <v>0</v>
      </c>
      <c r="I36" s="377">
        <v>0</v>
      </c>
      <c r="J36" s="377">
        <v>0</v>
      </c>
      <c r="K36" s="378">
        <v>0</v>
      </c>
    </row>
    <row r="37" spans="1:11" ht="15">
      <c r="A37" s="289">
        <v>29</v>
      </c>
      <c r="B37" s="328" t="s">
        <v>898</v>
      </c>
      <c r="C37" s="377">
        <v>0</v>
      </c>
      <c r="D37" s="377">
        <v>0</v>
      </c>
      <c r="E37" s="377">
        <v>0</v>
      </c>
      <c r="F37" s="377">
        <v>0</v>
      </c>
      <c r="G37" s="377">
        <v>0</v>
      </c>
      <c r="H37" s="377">
        <v>0</v>
      </c>
      <c r="I37" s="377">
        <v>0</v>
      </c>
      <c r="J37" s="377">
        <v>0</v>
      </c>
      <c r="K37" s="378">
        <v>0</v>
      </c>
    </row>
    <row r="38" spans="1:11" ht="15">
      <c r="A38" s="289">
        <v>30</v>
      </c>
      <c r="B38" s="328" t="s">
        <v>899</v>
      </c>
      <c r="C38" s="377">
        <v>0</v>
      </c>
      <c r="D38" s="377">
        <v>0</v>
      </c>
      <c r="E38" s="377">
        <v>0</v>
      </c>
      <c r="F38" s="377">
        <v>0</v>
      </c>
      <c r="G38" s="377">
        <v>0</v>
      </c>
      <c r="H38" s="377">
        <v>0</v>
      </c>
      <c r="I38" s="377">
        <v>0</v>
      </c>
      <c r="J38" s="377">
        <v>0</v>
      </c>
      <c r="K38" s="378">
        <v>0</v>
      </c>
    </row>
    <row r="39" spans="1:11" ht="15">
      <c r="A39" s="289">
        <v>31</v>
      </c>
      <c r="B39" s="328" t="s">
        <v>900</v>
      </c>
      <c r="C39" s="377">
        <v>0</v>
      </c>
      <c r="D39" s="377">
        <v>0</v>
      </c>
      <c r="E39" s="377">
        <v>0</v>
      </c>
      <c r="F39" s="377">
        <v>0</v>
      </c>
      <c r="G39" s="377">
        <v>0</v>
      </c>
      <c r="H39" s="377">
        <v>0</v>
      </c>
      <c r="I39" s="377">
        <v>0</v>
      </c>
      <c r="J39" s="377">
        <v>0</v>
      </c>
      <c r="K39" s="378">
        <v>0</v>
      </c>
    </row>
    <row r="40" spans="1:11" ht="15">
      <c r="A40" s="289">
        <v>32</v>
      </c>
      <c r="B40" s="328" t="s">
        <v>901</v>
      </c>
      <c r="C40" s="377">
        <v>0</v>
      </c>
      <c r="D40" s="377">
        <v>0</v>
      </c>
      <c r="E40" s="377">
        <v>0</v>
      </c>
      <c r="F40" s="377">
        <v>0</v>
      </c>
      <c r="G40" s="377">
        <v>0</v>
      </c>
      <c r="H40" s="377">
        <v>0</v>
      </c>
      <c r="I40" s="377">
        <v>0</v>
      </c>
      <c r="J40" s="377">
        <v>0</v>
      </c>
      <c r="K40" s="378">
        <v>0</v>
      </c>
    </row>
    <row r="41" spans="1:11" ht="15">
      <c r="A41" s="289">
        <v>33</v>
      </c>
      <c r="B41" s="328" t="s">
        <v>902</v>
      </c>
      <c r="C41" s="377">
        <v>0</v>
      </c>
      <c r="D41" s="377">
        <v>0</v>
      </c>
      <c r="E41" s="377">
        <v>0</v>
      </c>
      <c r="F41" s="377">
        <v>0</v>
      </c>
      <c r="G41" s="377">
        <v>0</v>
      </c>
      <c r="H41" s="377">
        <v>0</v>
      </c>
      <c r="I41" s="377">
        <v>0</v>
      </c>
      <c r="J41" s="377">
        <v>0</v>
      </c>
      <c r="K41" s="378">
        <v>0</v>
      </c>
    </row>
    <row r="42" spans="1:11" ht="15">
      <c r="A42" s="289">
        <v>34</v>
      </c>
      <c r="B42" s="328" t="s">
        <v>903</v>
      </c>
      <c r="C42" s="377">
        <v>0</v>
      </c>
      <c r="D42" s="377">
        <v>0</v>
      </c>
      <c r="E42" s="377">
        <v>0</v>
      </c>
      <c r="F42" s="377">
        <v>0</v>
      </c>
      <c r="G42" s="377">
        <v>0</v>
      </c>
      <c r="H42" s="377">
        <v>0</v>
      </c>
      <c r="I42" s="377">
        <v>0</v>
      </c>
      <c r="J42" s="377">
        <v>0</v>
      </c>
      <c r="K42" s="378">
        <v>0</v>
      </c>
    </row>
    <row r="43" spans="1:11" ht="15">
      <c r="A43" s="289">
        <v>35</v>
      </c>
      <c r="B43" s="328" t="s">
        <v>904</v>
      </c>
      <c r="C43" s="377">
        <v>0</v>
      </c>
      <c r="D43" s="377">
        <v>0</v>
      </c>
      <c r="E43" s="377">
        <v>0</v>
      </c>
      <c r="F43" s="377">
        <v>0</v>
      </c>
      <c r="G43" s="377">
        <v>0</v>
      </c>
      <c r="H43" s="377">
        <v>0</v>
      </c>
      <c r="I43" s="377">
        <v>0</v>
      </c>
      <c r="J43" s="377">
        <v>0</v>
      </c>
      <c r="K43" s="378">
        <v>0</v>
      </c>
    </row>
    <row r="44" spans="1:11" ht="12.75">
      <c r="A44" s="30" t="s">
        <v>19</v>
      </c>
      <c r="B44" s="9"/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7" spans="1:6" ht="12.75" customHeight="1">
      <c r="A47" s="203"/>
      <c r="B47" s="203"/>
      <c r="C47" s="203"/>
      <c r="D47" s="203"/>
      <c r="E47" s="203"/>
      <c r="F47" s="203"/>
    </row>
    <row r="48" spans="1:11" ht="12.75" customHeight="1">
      <c r="A48" s="203" t="s">
        <v>12</v>
      </c>
      <c r="B48" s="203"/>
      <c r="C48" s="748" t="s">
        <v>1021</v>
      </c>
      <c r="D48" s="748"/>
      <c r="E48" s="748"/>
      <c r="F48" s="83"/>
      <c r="I48" s="748" t="s">
        <v>1024</v>
      </c>
      <c r="J48" s="748"/>
      <c r="K48" s="748"/>
    </row>
    <row r="49" spans="1:11" ht="12.75" customHeight="1">
      <c r="A49" s="203"/>
      <c r="B49" s="203"/>
      <c r="C49" s="748" t="s">
        <v>1022</v>
      </c>
      <c r="D49" s="748"/>
      <c r="E49" s="748"/>
      <c r="F49" s="83"/>
      <c r="I49" s="748" t="s">
        <v>1025</v>
      </c>
      <c r="J49" s="748"/>
      <c r="K49" s="748"/>
    </row>
    <row r="50" spans="3:11" ht="12.75" customHeight="1">
      <c r="C50" s="735" t="s">
        <v>1023</v>
      </c>
      <c r="D50" s="735"/>
      <c r="E50" s="735"/>
      <c r="F50" s="36"/>
      <c r="I50" s="735" t="s">
        <v>1023</v>
      </c>
      <c r="J50" s="735"/>
      <c r="K50" s="735"/>
    </row>
    <row r="51" spans="9:10" ht="12.75">
      <c r="I51" s="205"/>
      <c r="J51" s="205"/>
    </row>
  </sheetData>
  <sheetProtection/>
  <mergeCells count="17">
    <mergeCell ref="G5:K5"/>
    <mergeCell ref="I48:K48"/>
    <mergeCell ref="J6:J7"/>
    <mergeCell ref="A6:A7"/>
    <mergeCell ref="B6:B7"/>
    <mergeCell ref="C6:E6"/>
    <mergeCell ref="F6:H6"/>
    <mergeCell ref="I49:K49"/>
    <mergeCell ref="I50:K50"/>
    <mergeCell ref="C48:E48"/>
    <mergeCell ref="C49:E49"/>
    <mergeCell ref="C50:E50"/>
    <mergeCell ref="A1:H1"/>
    <mergeCell ref="A2:H2"/>
    <mergeCell ref="A4:H4"/>
    <mergeCell ref="K6:K7"/>
    <mergeCell ref="I6:I7"/>
  </mergeCells>
  <printOptions horizontalCentered="1"/>
  <pageMargins left="0.7086614173228347" right="0.7086614173228347" top="0.2362204724409449" bottom="0" header="0.21" footer="0.31496062992125984"/>
  <pageSetup fitToHeight="1" fitToWidth="1" horizontalDpi="600" verticalDpi="600" orientation="landscape" paperSize="9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view="pageBreakPreview" zoomScale="73" zoomScaleNormal="85" zoomScaleSheetLayoutView="73" zoomScalePageLayoutView="0" workbookViewId="0" topLeftCell="A1">
      <pane xSplit="2" ySplit="11" topLeftCell="C47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H54" sqref="H54:J54"/>
    </sheetView>
  </sheetViews>
  <sheetFormatPr defaultColWidth="9.140625" defaultRowHeight="12.75"/>
  <cols>
    <col min="1" max="1" width="7.421875" style="0" customWidth="1"/>
    <col min="2" max="2" width="14.00390625" style="0" customWidth="1"/>
    <col min="3" max="4" width="12.7109375" style="0" customWidth="1"/>
    <col min="5" max="5" width="14.421875" style="0" customWidth="1"/>
    <col min="6" max="6" width="17.00390625" style="0" customWidth="1"/>
    <col min="7" max="7" width="14.140625" style="0" customWidth="1"/>
    <col min="8" max="8" width="17.00390625" style="0" customWidth="1"/>
    <col min="9" max="9" width="13.00390625" style="0" customWidth="1"/>
    <col min="10" max="10" width="17.00390625" style="0" customWidth="1"/>
    <col min="11" max="11" width="11.28125" style="0" customWidth="1"/>
    <col min="12" max="12" width="19.28125" style="0" customWidth="1"/>
  </cols>
  <sheetData>
    <row r="1" spans="1:12" ht="16.5">
      <c r="A1" s="415"/>
      <c r="B1" s="415"/>
      <c r="C1" s="415"/>
      <c r="D1" s="415"/>
      <c r="E1" s="415"/>
      <c r="F1" s="415"/>
      <c r="G1" s="415"/>
      <c r="H1" s="415"/>
      <c r="I1" s="350"/>
      <c r="J1" s="350"/>
      <c r="K1" s="941" t="s">
        <v>87</v>
      </c>
      <c r="L1" s="941"/>
    </row>
    <row r="2" spans="1:12" ht="16.5">
      <c r="A2" s="870" t="s">
        <v>0</v>
      </c>
      <c r="B2" s="870"/>
      <c r="C2" s="870"/>
      <c r="D2" s="870"/>
      <c r="E2" s="870"/>
      <c r="F2" s="870"/>
      <c r="G2" s="870"/>
      <c r="H2" s="870"/>
      <c r="I2" s="415"/>
      <c r="J2" s="415"/>
      <c r="K2" s="415"/>
      <c r="L2" s="415"/>
    </row>
    <row r="3" spans="1:12" ht="16.5">
      <c r="A3" s="870" t="s">
        <v>656</v>
      </c>
      <c r="B3" s="870"/>
      <c r="C3" s="870"/>
      <c r="D3" s="870"/>
      <c r="E3" s="870"/>
      <c r="F3" s="870"/>
      <c r="G3" s="870"/>
      <c r="H3" s="870"/>
      <c r="I3" s="415"/>
      <c r="J3" s="415"/>
      <c r="K3" s="415"/>
      <c r="L3" s="415"/>
    </row>
    <row r="4" spans="1:12" ht="16.5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</row>
    <row r="5" spans="1:12" ht="16.5">
      <c r="A5" s="954" t="s">
        <v>694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</row>
    <row r="6" spans="1:12" ht="16.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</row>
    <row r="7" spans="1:12" ht="16.5">
      <c r="A7" s="208" t="s">
        <v>1020</v>
      </c>
      <c r="B7" s="208"/>
      <c r="C7" s="209"/>
      <c r="D7" s="415"/>
      <c r="E7" s="415"/>
      <c r="F7" s="415"/>
      <c r="G7" s="415"/>
      <c r="H7" s="417"/>
      <c r="I7" s="415"/>
      <c r="J7" s="415"/>
      <c r="K7" s="415"/>
      <c r="L7" s="415"/>
    </row>
    <row r="8" spans="1:12" ht="16.5">
      <c r="A8" s="418"/>
      <c r="B8" s="418"/>
      <c r="C8" s="415"/>
      <c r="D8" s="415"/>
      <c r="E8" s="415"/>
      <c r="F8" s="415"/>
      <c r="G8" s="415"/>
      <c r="H8" s="415"/>
      <c r="I8" s="419"/>
      <c r="J8" s="420"/>
      <c r="K8" s="419" t="s">
        <v>821</v>
      </c>
      <c r="L8" s="415"/>
    </row>
    <row r="9" spans="1:12" ht="46.5" customHeight="1">
      <c r="A9" s="952" t="s">
        <v>223</v>
      </c>
      <c r="B9" s="952" t="s">
        <v>222</v>
      </c>
      <c r="C9" s="817" t="s">
        <v>507</v>
      </c>
      <c r="D9" s="817" t="s">
        <v>508</v>
      </c>
      <c r="E9" s="955" t="s">
        <v>509</v>
      </c>
      <c r="F9" s="955"/>
      <c r="G9" s="955" t="s">
        <v>463</v>
      </c>
      <c r="H9" s="955"/>
      <c r="I9" s="955" t="s">
        <v>233</v>
      </c>
      <c r="J9" s="955"/>
      <c r="K9" s="956" t="s">
        <v>235</v>
      </c>
      <c r="L9" s="956"/>
    </row>
    <row r="10" spans="1:12" ht="49.5">
      <c r="A10" s="953"/>
      <c r="B10" s="953"/>
      <c r="C10" s="817"/>
      <c r="D10" s="817"/>
      <c r="E10" s="371" t="s">
        <v>221</v>
      </c>
      <c r="F10" s="371" t="s">
        <v>202</v>
      </c>
      <c r="G10" s="371" t="s">
        <v>221</v>
      </c>
      <c r="H10" s="371" t="s">
        <v>202</v>
      </c>
      <c r="I10" s="371" t="s">
        <v>221</v>
      </c>
      <c r="J10" s="371" t="s">
        <v>202</v>
      </c>
      <c r="K10" s="371" t="s">
        <v>221</v>
      </c>
      <c r="L10" s="371" t="s">
        <v>202</v>
      </c>
    </row>
    <row r="11" spans="1:12" s="15" customFormat="1" ht="16.5">
      <c r="A11" s="421">
        <v>1</v>
      </c>
      <c r="B11" s="421">
        <v>2</v>
      </c>
      <c r="C11" s="421">
        <v>3</v>
      </c>
      <c r="D11" s="421">
        <v>4</v>
      </c>
      <c r="E11" s="421">
        <v>5</v>
      </c>
      <c r="F11" s="421">
        <v>6</v>
      </c>
      <c r="G11" s="421">
        <v>7</v>
      </c>
      <c r="H11" s="421">
        <v>8</v>
      </c>
      <c r="I11" s="421">
        <v>9</v>
      </c>
      <c r="J11" s="421">
        <v>10</v>
      </c>
      <c r="K11" s="421">
        <v>11</v>
      </c>
      <c r="L11" s="421">
        <v>12</v>
      </c>
    </row>
    <row r="12" spans="1:12" ht="16.5">
      <c r="A12" s="423">
        <v>1</v>
      </c>
      <c r="B12" s="373" t="s">
        <v>870</v>
      </c>
      <c r="C12" s="424">
        <f>'AT-3'!F9</f>
        <v>4538</v>
      </c>
      <c r="D12" s="424">
        <f>'enrolment vs availed_PY'!G11+'enrolment vs availed_UPY'!G11</f>
        <v>517461</v>
      </c>
      <c r="E12" s="424">
        <v>2488</v>
      </c>
      <c r="F12" s="424">
        <v>292130</v>
      </c>
      <c r="G12" s="424">
        <v>0</v>
      </c>
      <c r="H12" s="424">
        <v>0</v>
      </c>
      <c r="I12" s="424">
        <v>1377</v>
      </c>
      <c r="J12" s="424">
        <v>158414</v>
      </c>
      <c r="K12" s="424">
        <v>0</v>
      </c>
      <c r="L12" s="424">
        <v>0</v>
      </c>
    </row>
    <row r="13" spans="1:12" ht="16.5">
      <c r="A13" s="423">
        <v>2</v>
      </c>
      <c r="B13" s="373" t="s">
        <v>871</v>
      </c>
      <c r="C13" s="424">
        <f>'AT-3'!F10</f>
        <v>1430</v>
      </c>
      <c r="D13" s="424">
        <f>'enrolment vs availed_PY'!G12+'enrolment vs availed_UPY'!G12</f>
        <v>165604</v>
      </c>
      <c r="E13" s="424">
        <v>1430</v>
      </c>
      <c r="F13" s="424">
        <v>253146</v>
      </c>
      <c r="G13" s="424">
        <v>0</v>
      </c>
      <c r="H13" s="424">
        <v>0</v>
      </c>
      <c r="I13" s="424">
        <v>0</v>
      </c>
      <c r="J13" s="424">
        <v>0</v>
      </c>
      <c r="K13" s="424">
        <v>0</v>
      </c>
      <c r="L13" s="424">
        <v>0</v>
      </c>
    </row>
    <row r="14" spans="1:12" ht="16.5">
      <c r="A14" s="423">
        <v>3</v>
      </c>
      <c r="B14" s="373" t="s">
        <v>872</v>
      </c>
      <c r="C14" s="424">
        <f>'AT-3'!F11</f>
        <v>2401</v>
      </c>
      <c r="D14" s="424">
        <f>'enrolment vs availed_PY'!G13+'enrolment vs availed_UPY'!G13</f>
        <v>268736</v>
      </c>
      <c r="E14" s="424">
        <v>1586</v>
      </c>
      <c r="F14" s="424">
        <v>169664</v>
      </c>
      <c r="G14" s="424">
        <v>1089</v>
      </c>
      <c r="H14" s="424">
        <v>117077</v>
      </c>
      <c r="I14" s="424">
        <v>1504</v>
      </c>
      <c r="J14" s="424">
        <v>173944</v>
      </c>
      <c r="K14" s="424">
        <v>316</v>
      </c>
      <c r="L14" s="424">
        <v>155</v>
      </c>
    </row>
    <row r="15" spans="1:12" ht="16.5">
      <c r="A15" s="423">
        <v>4</v>
      </c>
      <c r="B15" s="373" t="s">
        <v>873</v>
      </c>
      <c r="C15" s="424">
        <f>'AT-3'!F12</f>
        <v>2981</v>
      </c>
      <c r="D15" s="424">
        <f>'enrolment vs availed_PY'!G14+'enrolment vs availed_UPY'!G14</f>
        <v>485874</v>
      </c>
      <c r="E15" s="424">
        <v>2981</v>
      </c>
      <c r="F15" s="424">
        <v>485874</v>
      </c>
      <c r="G15" s="424">
        <v>895</v>
      </c>
      <c r="H15" s="424">
        <v>127763</v>
      </c>
      <c r="I15" s="424">
        <v>895</v>
      </c>
      <c r="J15" s="424">
        <v>127763</v>
      </c>
      <c r="K15" s="424">
        <v>0</v>
      </c>
      <c r="L15" s="424">
        <v>0</v>
      </c>
    </row>
    <row r="16" spans="1:12" ht="16.5">
      <c r="A16" s="423">
        <v>5</v>
      </c>
      <c r="B16" s="373" t="s">
        <v>874</v>
      </c>
      <c r="C16" s="424">
        <f>'AT-3'!F13</f>
        <v>3224</v>
      </c>
      <c r="D16" s="424">
        <f>'enrolment vs availed_PY'!G15+'enrolment vs availed_UPY'!G15</f>
        <v>380518</v>
      </c>
      <c r="E16" s="424">
        <v>1934</v>
      </c>
      <c r="F16" s="424">
        <v>234085</v>
      </c>
      <c r="G16" s="424">
        <v>1290</v>
      </c>
      <c r="H16" s="424">
        <v>156056</v>
      </c>
      <c r="I16" s="424">
        <v>0</v>
      </c>
      <c r="J16" s="424">
        <v>0</v>
      </c>
      <c r="K16" s="424">
        <v>0</v>
      </c>
      <c r="L16" s="424">
        <v>0</v>
      </c>
    </row>
    <row r="17" spans="1:12" ht="16.5">
      <c r="A17" s="423">
        <v>6</v>
      </c>
      <c r="B17" s="373" t="s">
        <v>875</v>
      </c>
      <c r="C17" s="424">
        <f>'AT-3'!F14</f>
        <v>1132</v>
      </c>
      <c r="D17" s="424">
        <f>'enrolment vs availed_PY'!G16+'enrolment vs availed_UPY'!G16</f>
        <v>117141</v>
      </c>
      <c r="E17" s="424">
        <v>1132</v>
      </c>
      <c r="F17" s="424">
        <v>117141</v>
      </c>
      <c r="G17" s="424">
        <v>0</v>
      </c>
      <c r="H17" s="424">
        <v>0</v>
      </c>
      <c r="I17" s="424">
        <v>0</v>
      </c>
      <c r="J17" s="424">
        <v>0</v>
      </c>
      <c r="K17" s="424">
        <v>0</v>
      </c>
      <c r="L17" s="424">
        <v>0</v>
      </c>
    </row>
    <row r="18" spans="1:13" ht="16.5">
      <c r="A18" s="423">
        <v>7</v>
      </c>
      <c r="B18" s="373" t="s">
        <v>876</v>
      </c>
      <c r="C18" s="424">
        <f>'AT-3'!F15</f>
        <v>2013</v>
      </c>
      <c r="D18" s="424">
        <f>'enrolment vs availed_PY'!G17+'enrolment vs availed_UPY'!G17</f>
        <v>291747</v>
      </c>
      <c r="E18" s="424">
        <v>2013</v>
      </c>
      <c r="F18" s="424">
        <v>281529</v>
      </c>
      <c r="G18" s="424">
        <v>1705</v>
      </c>
      <c r="H18" s="424">
        <v>171213</v>
      </c>
      <c r="I18" s="424">
        <v>1636</v>
      </c>
      <c r="J18" s="424">
        <v>178613</v>
      </c>
      <c r="K18" s="424">
        <v>0</v>
      </c>
      <c r="L18" s="424">
        <v>0</v>
      </c>
      <c r="M18" s="363"/>
    </row>
    <row r="19" spans="1:12" ht="16.5">
      <c r="A19" s="423">
        <v>8</v>
      </c>
      <c r="B19" s="373" t="s">
        <v>877</v>
      </c>
      <c r="C19" s="424">
        <f>'AT-3'!F16</f>
        <v>2035</v>
      </c>
      <c r="D19" s="424">
        <f>'enrolment vs availed_PY'!G18+'enrolment vs availed_UPY'!G18</f>
        <v>183845</v>
      </c>
      <c r="E19" s="424">
        <v>2035</v>
      </c>
      <c r="F19" s="424">
        <v>183845</v>
      </c>
      <c r="G19" s="424">
        <v>0</v>
      </c>
      <c r="H19" s="424">
        <v>0</v>
      </c>
      <c r="I19" s="424">
        <v>0</v>
      </c>
      <c r="J19" s="424">
        <v>0</v>
      </c>
      <c r="K19" s="424">
        <v>0</v>
      </c>
      <c r="L19" s="424">
        <v>0</v>
      </c>
    </row>
    <row r="20" spans="1:12" ht="16.5">
      <c r="A20" s="423">
        <v>9</v>
      </c>
      <c r="B20" s="373" t="s">
        <v>878</v>
      </c>
      <c r="C20" s="424">
        <f>'AT-3'!F17</f>
        <v>1682</v>
      </c>
      <c r="D20" s="424">
        <f>'enrolment vs availed_PY'!G19+'enrolment vs availed_UPY'!G19</f>
        <v>272490</v>
      </c>
      <c r="E20" s="424">
        <v>1538</v>
      </c>
      <c r="F20" s="424">
        <v>103371</v>
      </c>
      <c r="G20" s="424">
        <v>1538</v>
      </c>
      <c r="H20" s="424">
        <v>78380</v>
      </c>
      <c r="I20" s="424">
        <v>0</v>
      </c>
      <c r="J20" s="424">
        <v>0</v>
      </c>
      <c r="K20" s="424">
        <v>0</v>
      </c>
      <c r="L20" s="424">
        <v>0</v>
      </c>
    </row>
    <row r="21" spans="1:12" ht="16.5">
      <c r="A21" s="423">
        <v>10</v>
      </c>
      <c r="B21" s="373" t="s">
        <v>879</v>
      </c>
      <c r="C21" s="424">
        <f>'AT-3'!F18</f>
        <v>1799</v>
      </c>
      <c r="D21" s="424">
        <f>'enrolment vs availed_PY'!G20+'enrolment vs availed_UPY'!G20</f>
        <v>101507</v>
      </c>
      <c r="E21" s="424">
        <v>1799</v>
      </c>
      <c r="F21" s="424">
        <v>101507</v>
      </c>
      <c r="G21" s="424">
        <v>1799</v>
      </c>
      <c r="H21" s="424">
        <v>101507</v>
      </c>
      <c r="I21" s="424">
        <v>1799</v>
      </c>
      <c r="J21" s="424">
        <v>101507</v>
      </c>
      <c r="K21" s="424">
        <v>89</v>
      </c>
      <c r="L21" s="424">
        <v>117</v>
      </c>
    </row>
    <row r="22" spans="1:12" ht="16.5">
      <c r="A22" s="423">
        <v>11</v>
      </c>
      <c r="B22" s="373" t="s">
        <v>880</v>
      </c>
      <c r="C22" s="424">
        <f>'AT-3'!F19</f>
        <v>1374</v>
      </c>
      <c r="D22" s="424">
        <f>'enrolment vs availed_PY'!G21+'enrolment vs availed_UPY'!G21</f>
        <v>126840</v>
      </c>
      <c r="E22" s="424">
        <v>1569</v>
      </c>
      <c r="F22" s="424">
        <v>158795</v>
      </c>
      <c r="G22" s="424">
        <v>918</v>
      </c>
      <c r="H22" s="424">
        <v>31580</v>
      </c>
      <c r="I22" s="424">
        <v>1311</v>
      </c>
      <c r="J22" s="424">
        <v>44892</v>
      </c>
      <c r="K22" s="424">
        <v>524</v>
      </c>
      <c r="L22" s="424">
        <v>575</v>
      </c>
    </row>
    <row r="23" spans="1:12" ht="16.5">
      <c r="A23" s="423">
        <v>12</v>
      </c>
      <c r="B23" s="373" t="s">
        <v>881</v>
      </c>
      <c r="C23" s="424">
        <f>'AT-3'!F20</f>
        <v>1032</v>
      </c>
      <c r="D23" s="424">
        <f>'enrolment vs availed_PY'!G22+'enrolment vs availed_UPY'!G22</f>
        <v>160163</v>
      </c>
      <c r="E23" s="424">
        <v>1032</v>
      </c>
      <c r="F23" s="424">
        <v>128129</v>
      </c>
      <c r="G23" s="424">
        <v>1032</v>
      </c>
      <c r="H23" s="424">
        <v>76785</v>
      </c>
      <c r="I23" s="424">
        <v>1032</v>
      </c>
      <c r="J23" s="424">
        <v>160163</v>
      </c>
      <c r="K23" s="424">
        <v>0</v>
      </c>
      <c r="L23" s="424">
        <v>0</v>
      </c>
    </row>
    <row r="24" spans="1:12" ht="16.5">
      <c r="A24" s="423">
        <v>13</v>
      </c>
      <c r="B24" s="373" t="s">
        <v>882</v>
      </c>
      <c r="C24" s="424">
        <f>'AT-3'!F21</f>
        <v>2748</v>
      </c>
      <c r="D24" s="424">
        <f>'enrolment vs availed_PY'!G23+'enrolment vs availed_UPY'!G23</f>
        <v>544582</v>
      </c>
      <c r="E24" s="424">
        <v>1868</v>
      </c>
      <c r="F24" s="424">
        <v>278171</v>
      </c>
      <c r="G24" s="424">
        <v>1852</v>
      </c>
      <c r="H24" s="424">
        <v>41023</v>
      </c>
      <c r="I24" s="424">
        <v>1833</v>
      </c>
      <c r="J24" s="424">
        <v>45712</v>
      </c>
      <c r="K24" s="424">
        <v>2108</v>
      </c>
      <c r="L24" s="424">
        <v>2116</v>
      </c>
    </row>
    <row r="25" spans="1:12" ht="16.5">
      <c r="A25" s="423">
        <v>14</v>
      </c>
      <c r="B25" s="373" t="s">
        <v>883</v>
      </c>
      <c r="C25" s="424">
        <f>'AT-3'!F22</f>
        <v>1923</v>
      </c>
      <c r="D25" s="424">
        <f>'enrolment vs availed_PY'!G24+'enrolment vs availed_UPY'!G24</f>
        <v>256601</v>
      </c>
      <c r="E25" s="424">
        <v>1801</v>
      </c>
      <c r="F25" s="424">
        <v>238891</v>
      </c>
      <c r="G25" s="424">
        <v>1933</v>
      </c>
      <c r="H25" s="424">
        <v>226651</v>
      </c>
      <c r="I25" s="424">
        <v>1822</v>
      </c>
      <c r="J25" s="424">
        <v>199100</v>
      </c>
      <c r="K25" s="424">
        <v>260</v>
      </c>
      <c r="L25" s="424">
        <v>2562</v>
      </c>
    </row>
    <row r="26" spans="1:12" ht="16.5">
      <c r="A26" s="423">
        <v>15</v>
      </c>
      <c r="B26" s="373" t="s">
        <v>884</v>
      </c>
      <c r="C26" s="424">
        <f>'AT-3'!F23</f>
        <v>3061</v>
      </c>
      <c r="D26" s="424">
        <f>'enrolment vs availed_PY'!G25+'enrolment vs availed_UPY'!G25</f>
        <v>403997</v>
      </c>
      <c r="E26" s="424">
        <v>3061</v>
      </c>
      <c r="F26" s="424">
        <v>403997</v>
      </c>
      <c r="G26" s="424">
        <v>1838</v>
      </c>
      <c r="H26" s="424">
        <v>166132</v>
      </c>
      <c r="I26" s="424">
        <v>2975</v>
      </c>
      <c r="J26" s="424">
        <v>372221</v>
      </c>
      <c r="K26" s="424">
        <v>133</v>
      </c>
      <c r="L26" s="424">
        <v>282</v>
      </c>
    </row>
    <row r="27" spans="1:12" ht="16.5">
      <c r="A27" s="423">
        <v>16</v>
      </c>
      <c r="B27" s="373" t="s">
        <v>885</v>
      </c>
      <c r="C27" s="424">
        <f>'AT-3'!F24</f>
        <v>2137</v>
      </c>
      <c r="D27" s="424">
        <f>'enrolment vs availed_PY'!G26+'enrolment vs availed_UPY'!G26</f>
        <v>329262</v>
      </c>
      <c r="E27" s="424">
        <v>1918</v>
      </c>
      <c r="F27" s="424">
        <v>331934</v>
      </c>
      <c r="G27" s="424">
        <v>565</v>
      </c>
      <c r="H27" s="424">
        <v>79470</v>
      </c>
      <c r="I27" s="424">
        <v>565</v>
      </c>
      <c r="J27" s="424">
        <v>79470</v>
      </c>
      <c r="K27" s="424">
        <v>565</v>
      </c>
      <c r="L27" s="424">
        <v>42563</v>
      </c>
    </row>
    <row r="28" spans="1:12" ht="16.5">
      <c r="A28" s="423">
        <v>17</v>
      </c>
      <c r="B28" s="373" t="s">
        <v>886</v>
      </c>
      <c r="C28" s="424">
        <f>'AT-3'!F25</f>
        <v>2389</v>
      </c>
      <c r="D28" s="424">
        <f>'enrolment vs availed_PY'!G27+'enrolment vs availed_UPY'!G27</f>
        <v>699678</v>
      </c>
      <c r="E28" s="424">
        <v>1425</v>
      </c>
      <c r="F28" s="424">
        <v>180230</v>
      </c>
      <c r="G28" s="424">
        <v>1425</v>
      </c>
      <c r="H28" s="424">
        <v>187544</v>
      </c>
      <c r="I28" s="424">
        <v>1425</v>
      </c>
      <c r="J28" s="424"/>
      <c r="K28" s="424"/>
      <c r="L28" s="424"/>
    </row>
    <row r="29" spans="1:12" ht="16.5">
      <c r="A29" s="423">
        <v>18</v>
      </c>
      <c r="B29" s="373" t="s">
        <v>887</v>
      </c>
      <c r="C29" s="424">
        <f>'AT-3'!F26</f>
        <v>2849</v>
      </c>
      <c r="D29" s="424">
        <f>'enrolment vs availed_PY'!G28+'enrolment vs availed_UPY'!G28</f>
        <v>376103</v>
      </c>
      <c r="E29" s="424">
        <v>2849</v>
      </c>
      <c r="F29" s="424">
        <v>357106</v>
      </c>
      <c r="G29" s="424">
        <v>2008</v>
      </c>
      <c r="H29" s="424">
        <v>139685</v>
      </c>
      <c r="I29" s="424">
        <v>1408</v>
      </c>
      <c r="J29" s="424">
        <v>96410</v>
      </c>
      <c r="K29" s="424">
        <v>171</v>
      </c>
      <c r="L29" s="424">
        <v>708</v>
      </c>
    </row>
    <row r="30" spans="1:12" ht="16.5">
      <c r="A30" s="423">
        <v>19</v>
      </c>
      <c r="B30" s="373" t="s">
        <v>888</v>
      </c>
      <c r="C30" s="424">
        <f>'AT-3'!F27</f>
        <v>3021</v>
      </c>
      <c r="D30" s="424">
        <f>'enrolment vs availed_PY'!G29+'enrolment vs availed_UPY'!G29</f>
        <v>405767</v>
      </c>
      <c r="E30" s="424">
        <v>2873</v>
      </c>
      <c r="F30" s="424">
        <v>361200</v>
      </c>
      <c r="G30" s="424">
        <v>884</v>
      </c>
      <c r="H30" s="424">
        <v>94448</v>
      </c>
      <c r="I30" s="424">
        <v>1168</v>
      </c>
      <c r="J30" s="424">
        <v>131437</v>
      </c>
      <c r="K30" s="424">
        <v>21</v>
      </c>
      <c r="L30" s="424">
        <v>140</v>
      </c>
    </row>
    <row r="31" spans="1:12" ht="16.5">
      <c r="A31" s="423">
        <v>20</v>
      </c>
      <c r="B31" s="373" t="s">
        <v>889</v>
      </c>
      <c r="C31" s="424">
        <f>'AT-3'!F28</f>
        <v>1705</v>
      </c>
      <c r="D31" s="424">
        <f>'enrolment vs availed_PY'!G30+'enrolment vs availed_UPY'!G30</f>
        <v>186229</v>
      </c>
      <c r="E31" s="424">
        <v>1705</v>
      </c>
      <c r="F31" s="424">
        <v>186229</v>
      </c>
      <c r="G31" s="424">
        <v>869</v>
      </c>
      <c r="H31" s="424">
        <v>331038</v>
      </c>
      <c r="I31" s="424">
        <v>1705</v>
      </c>
      <c r="J31" s="424">
        <v>186229</v>
      </c>
      <c r="K31" s="424">
        <v>121</v>
      </c>
      <c r="L31" s="424">
        <v>209</v>
      </c>
    </row>
    <row r="32" spans="1:12" ht="16.5">
      <c r="A32" s="423">
        <v>21</v>
      </c>
      <c r="B32" s="373" t="s">
        <v>890</v>
      </c>
      <c r="C32" s="424">
        <f>'AT-3'!F29</f>
        <v>4449</v>
      </c>
      <c r="D32" s="424">
        <f>'enrolment vs availed_PY'!G31+'enrolment vs availed_UPY'!G31</f>
        <v>693677</v>
      </c>
      <c r="E32" s="424">
        <v>3559</v>
      </c>
      <c r="F32" s="424">
        <v>512595</v>
      </c>
      <c r="G32" s="424">
        <v>0</v>
      </c>
      <c r="H32" s="424">
        <v>0</v>
      </c>
      <c r="I32" s="424">
        <v>0</v>
      </c>
      <c r="J32" s="424">
        <v>0</v>
      </c>
      <c r="K32" s="424">
        <v>1086</v>
      </c>
      <c r="L32" s="424">
        <v>1533</v>
      </c>
    </row>
    <row r="33" spans="1:12" ht="16.5">
      <c r="A33" s="423">
        <v>22</v>
      </c>
      <c r="B33" s="373" t="s">
        <v>891</v>
      </c>
      <c r="C33" s="424">
        <f>'AT-3'!F30</f>
        <v>1548</v>
      </c>
      <c r="D33" s="424">
        <f>'enrolment vs availed_PY'!G32+'enrolment vs availed_UPY'!G32</f>
        <v>189177</v>
      </c>
      <c r="E33" s="424">
        <v>1548</v>
      </c>
      <c r="F33" s="424">
        <v>189177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4">
        <v>0</v>
      </c>
    </row>
    <row r="34" spans="1:12" ht="16.5">
      <c r="A34" s="423">
        <v>23</v>
      </c>
      <c r="B34" s="373" t="s">
        <v>892</v>
      </c>
      <c r="C34" s="424">
        <f>'AT-3'!F31</f>
        <v>1583</v>
      </c>
      <c r="D34" s="424">
        <f>'enrolment vs availed_PY'!G33+'enrolment vs availed_UPY'!G33</f>
        <v>250596</v>
      </c>
      <c r="E34" s="424">
        <v>1583</v>
      </c>
      <c r="F34" s="424">
        <v>235327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4">
        <v>0</v>
      </c>
    </row>
    <row r="35" spans="1:12" ht="16.5">
      <c r="A35" s="423">
        <v>24</v>
      </c>
      <c r="B35" s="373" t="s">
        <v>893</v>
      </c>
      <c r="C35" s="424">
        <f>'AT-3'!F32</f>
        <v>5432</v>
      </c>
      <c r="D35" s="424">
        <f>'enrolment vs availed_PY'!G34+'enrolment vs availed_UPY'!G34</f>
        <v>762852</v>
      </c>
      <c r="E35" s="424">
        <v>5432</v>
      </c>
      <c r="F35" s="424">
        <v>635899</v>
      </c>
      <c r="G35" s="424">
        <v>3711</v>
      </c>
      <c r="H35" s="424">
        <v>238325</v>
      </c>
      <c r="I35" s="424">
        <v>2610</v>
      </c>
      <c r="J35" s="424">
        <v>161872</v>
      </c>
      <c r="K35" s="424">
        <v>239</v>
      </c>
      <c r="L35" s="424">
        <v>335</v>
      </c>
    </row>
    <row r="36" spans="1:12" ht="16.5">
      <c r="A36" s="423">
        <v>25</v>
      </c>
      <c r="B36" s="373" t="s">
        <v>894</v>
      </c>
      <c r="C36" s="424">
        <f>'AT-3'!F33</f>
        <v>3208</v>
      </c>
      <c r="D36" s="424">
        <f>'enrolment vs availed_PY'!G35+'enrolment vs availed_UPY'!G35</f>
        <v>203676</v>
      </c>
      <c r="E36" s="424">
        <v>3208</v>
      </c>
      <c r="F36" s="424">
        <v>144044</v>
      </c>
      <c r="G36" s="424">
        <v>1450</v>
      </c>
      <c r="H36" s="424">
        <v>27612</v>
      </c>
      <c r="I36" s="424">
        <v>1772</v>
      </c>
      <c r="J36" s="424">
        <v>57927</v>
      </c>
      <c r="K36" s="424">
        <v>21</v>
      </c>
      <c r="L36" s="424">
        <v>115</v>
      </c>
    </row>
    <row r="37" spans="1:12" ht="16.5">
      <c r="A37" s="423">
        <v>26</v>
      </c>
      <c r="B37" s="373" t="s">
        <v>895</v>
      </c>
      <c r="C37" s="424">
        <f>'AT-3'!F34</f>
        <v>3076</v>
      </c>
      <c r="D37" s="424">
        <f>'enrolment vs availed_PY'!G36+'enrolment vs availed_UPY'!G36</f>
        <v>142390</v>
      </c>
      <c r="E37" s="424">
        <v>3076</v>
      </c>
      <c r="F37" s="424">
        <v>136052</v>
      </c>
      <c r="G37" s="424">
        <v>3076</v>
      </c>
      <c r="H37" s="424">
        <v>60282</v>
      </c>
      <c r="I37" s="424">
        <v>3076</v>
      </c>
      <c r="J37" s="424">
        <v>136052</v>
      </c>
      <c r="K37" s="424">
        <v>10</v>
      </c>
      <c r="L37" s="424">
        <v>14</v>
      </c>
    </row>
    <row r="38" spans="1:12" ht="16.5">
      <c r="A38" s="423">
        <v>27</v>
      </c>
      <c r="B38" s="373" t="s">
        <v>896</v>
      </c>
      <c r="C38" s="424">
        <f>'AT-3'!F35</f>
        <v>2515</v>
      </c>
      <c r="D38" s="424">
        <f>'enrolment vs availed_PY'!G37+'enrolment vs availed_UPY'!G37</f>
        <v>305171</v>
      </c>
      <c r="E38" s="424">
        <v>1784</v>
      </c>
      <c r="F38" s="424">
        <v>215480</v>
      </c>
      <c r="G38" s="424">
        <v>1046</v>
      </c>
      <c r="H38" s="424">
        <v>151458</v>
      </c>
      <c r="I38" s="424">
        <v>1517</v>
      </c>
      <c r="J38" s="424">
        <v>182170</v>
      </c>
      <c r="K38" s="424">
        <v>147</v>
      </c>
      <c r="L38" s="424">
        <v>2130</v>
      </c>
    </row>
    <row r="39" spans="1:12" ht="16.5">
      <c r="A39" s="423">
        <v>28</v>
      </c>
      <c r="B39" s="373" t="s">
        <v>897</v>
      </c>
      <c r="C39" s="424">
        <f>'AT-3'!F36</f>
        <v>3436</v>
      </c>
      <c r="D39" s="424">
        <f>'enrolment vs availed_PY'!G38+'enrolment vs availed_UPY'!G38</f>
        <v>274623</v>
      </c>
      <c r="E39" s="424">
        <v>2915</v>
      </c>
      <c r="F39" s="424">
        <v>224766</v>
      </c>
      <c r="G39" s="424">
        <v>2974</v>
      </c>
      <c r="H39" s="424">
        <v>223237</v>
      </c>
      <c r="I39" s="424">
        <v>2723</v>
      </c>
      <c r="J39" s="424">
        <v>198864</v>
      </c>
      <c r="K39" s="424">
        <v>54</v>
      </c>
      <c r="L39" s="424">
        <v>143</v>
      </c>
    </row>
    <row r="40" spans="1:12" ht="16.5">
      <c r="A40" s="423">
        <v>29</v>
      </c>
      <c r="B40" s="373" t="s">
        <v>898</v>
      </c>
      <c r="C40" s="424">
        <f>'AT-3'!F37</f>
        <v>1670</v>
      </c>
      <c r="D40" s="424">
        <f>'enrolment vs availed_PY'!G39+'enrolment vs availed_UPY'!G39</f>
        <v>71391</v>
      </c>
      <c r="E40" s="424">
        <v>740</v>
      </c>
      <c r="F40" s="424">
        <v>49251</v>
      </c>
      <c r="G40" s="424">
        <v>240</v>
      </c>
      <c r="H40" s="424">
        <v>9587</v>
      </c>
      <c r="I40" s="424">
        <v>445</v>
      </c>
      <c r="J40" s="424">
        <v>21547</v>
      </c>
      <c r="K40" s="424">
        <v>0</v>
      </c>
      <c r="L40" s="424">
        <v>0</v>
      </c>
    </row>
    <row r="41" spans="1:12" ht="16.5">
      <c r="A41" s="423">
        <v>30</v>
      </c>
      <c r="B41" s="373" t="s">
        <v>899</v>
      </c>
      <c r="C41" s="424">
        <f>'AT-3'!F38</f>
        <v>4073</v>
      </c>
      <c r="D41" s="424">
        <f>'enrolment vs availed_PY'!G40+'enrolment vs availed_UPY'!G40</f>
        <v>513419</v>
      </c>
      <c r="E41" s="424">
        <v>4073</v>
      </c>
      <c r="F41" s="424">
        <v>361833</v>
      </c>
      <c r="G41" s="424">
        <v>2220</v>
      </c>
      <c r="H41" s="424">
        <v>202190</v>
      </c>
      <c r="I41" s="424">
        <v>2300</v>
      </c>
      <c r="J41" s="424">
        <v>244097</v>
      </c>
      <c r="K41" s="424">
        <v>1242</v>
      </c>
      <c r="L41" s="424">
        <v>6260</v>
      </c>
    </row>
    <row r="42" spans="1:12" ht="16.5">
      <c r="A42" s="423">
        <v>31</v>
      </c>
      <c r="B42" s="373" t="s">
        <v>900</v>
      </c>
      <c r="C42" s="424">
        <f>'AT-3'!F39</f>
        <v>2785</v>
      </c>
      <c r="D42" s="424">
        <f>'enrolment vs availed_PY'!G41+'enrolment vs availed_UPY'!G41</f>
        <v>541930</v>
      </c>
      <c r="E42" s="424">
        <v>2785</v>
      </c>
      <c r="F42" s="424">
        <v>418721</v>
      </c>
      <c r="G42" s="424">
        <v>0</v>
      </c>
      <c r="H42" s="424">
        <v>0</v>
      </c>
      <c r="I42" s="424">
        <v>0</v>
      </c>
      <c r="J42" s="424">
        <v>0</v>
      </c>
      <c r="K42" s="424">
        <v>0</v>
      </c>
      <c r="L42" s="424">
        <v>0</v>
      </c>
    </row>
    <row r="43" spans="1:12" ht="16.5">
      <c r="A43" s="423">
        <v>32</v>
      </c>
      <c r="B43" s="373" t="s">
        <v>901</v>
      </c>
      <c r="C43" s="424">
        <f>'AT-3'!F40</f>
        <v>2393</v>
      </c>
      <c r="D43" s="424">
        <f>'enrolment vs availed_PY'!G42+'enrolment vs availed_UPY'!G42</f>
        <v>255173</v>
      </c>
      <c r="E43" s="424">
        <v>2393</v>
      </c>
      <c r="F43" s="424">
        <v>255173</v>
      </c>
      <c r="G43" s="424">
        <v>909</v>
      </c>
      <c r="H43" s="424">
        <v>96966</v>
      </c>
      <c r="I43" s="424">
        <v>2393</v>
      </c>
      <c r="J43" s="424">
        <v>70325</v>
      </c>
      <c r="K43" s="424">
        <v>0</v>
      </c>
      <c r="L43" s="424">
        <v>0</v>
      </c>
    </row>
    <row r="44" spans="1:12" ht="16.5">
      <c r="A44" s="423">
        <v>33</v>
      </c>
      <c r="B44" s="373" t="s">
        <v>902</v>
      </c>
      <c r="C44" s="424">
        <f>'AT-3'!F41</f>
        <v>1246</v>
      </c>
      <c r="D44" s="424">
        <f>'enrolment vs availed_PY'!G43+'enrolment vs availed_UPY'!G43</f>
        <v>98790</v>
      </c>
      <c r="E44" s="424">
        <v>1246</v>
      </c>
      <c r="F44" s="424">
        <v>98790</v>
      </c>
      <c r="G44" s="424">
        <v>1246</v>
      </c>
      <c r="H44" s="424">
        <v>3331</v>
      </c>
      <c r="I44" s="424">
        <v>0</v>
      </c>
      <c r="J44" s="424">
        <v>0</v>
      </c>
      <c r="K44" s="424">
        <v>0</v>
      </c>
      <c r="L44" s="424">
        <v>0</v>
      </c>
    </row>
    <row r="45" spans="1:12" ht="16.5">
      <c r="A45" s="423">
        <v>34</v>
      </c>
      <c r="B45" s="373" t="s">
        <v>903</v>
      </c>
      <c r="C45" s="424">
        <f>'AT-3'!F42</f>
        <v>1110</v>
      </c>
      <c r="D45" s="424">
        <f>'enrolment vs availed_PY'!G44+'enrolment vs availed_UPY'!G44</f>
        <v>141142</v>
      </c>
      <c r="E45" s="424">
        <v>1110</v>
      </c>
      <c r="F45" s="424">
        <v>141142</v>
      </c>
      <c r="G45" s="424">
        <v>1110</v>
      </c>
      <c r="H45" s="424">
        <v>60235</v>
      </c>
      <c r="I45" s="424">
        <v>1110</v>
      </c>
      <c r="J45" s="424">
        <v>141142</v>
      </c>
      <c r="K45" s="424">
        <v>1110</v>
      </c>
      <c r="L45" s="424">
        <v>41</v>
      </c>
    </row>
    <row r="46" spans="1:12" ht="16.5">
      <c r="A46" s="423">
        <v>35</v>
      </c>
      <c r="B46" s="373" t="s">
        <v>904</v>
      </c>
      <c r="C46" s="424">
        <f>'AT-3'!F43</f>
        <v>2782</v>
      </c>
      <c r="D46" s="424">
        <f>'enrolment vs availed_PY'!G45+'enrolment vs availed_UPY'!G45</f>
        <v>293996</v>
      </c>
      <c r="E46" s="424">
        <v>1808</v>
      </c>
      <c r="F46" s="424">
        <v>190355</v>
      </c>
      <c r="G46" s="424">
        <v>1808</v>
      </c>
      <c r="H46" s="424">
        <v>190355</v>
      </c>
      <c r="I46" s="424">
        <v>668</v>
      </c>
      <c r="J46" s="424">
        <v>70285</v>
      </c>
      <c r="K46" s="424">
        <v>0</v>
      </c>
      <c r="L46" s="424">
        <v>0</v>
      </c>
    </row>
    <row r="47" spans="1:12" ht="16.5">
      <c r="A47" s="425" t="s">
        <v>19</v>
      </c>
      <c r="B47" s="425"/>
      <c r="C47" s="424">
        <f>SUM(C12:C46)</f>
        <v>86780</v>
      </c>
      <c r="D47" s="424">
        <f aca="true" t="shared" si="0" ref="D47:L47">SUM(D12:D46)</f>
        <v>11012148</v>
      </c>
      <c r="E47" s="424">
        <f t="shared" si="0"/>
        <v>76297</v>
      </c>
      <c r="F47" s="424">
        <f t="shared" si="0"/>
        <v>8655579</v>
      </c>
      <c r="G47" s="424">
        <f t="shared" si="0"/>
        <v>41430</v>
      </c>
      <c r="H47" s="424">
        <f t="shared" si="0"/>
        <v>3389930</v>
      </c>
      <c r="I47" s="424">
        <f t="shared" si="0"/>
        <v>41069</v>
      </c>
      <c r="J47" s="424">
        <f t="shared" si="0"/>
        <v>3340156</v>
      </c>
      <c r="K47" s="424">
        <f t="shared" si="0"/>
        <v>8217</v>
      </c>
      <c r="L47" s="424">
        <f t="shared" si="0"/>
        <v>59998</v>
      </c>
    </row>
    <row r="48" spans="1:12" ht="16.5">
      <c r="A48" s="426"/>
      <c r="B48" s="426"/>
      <c r="C48" s="415"/>
      <c r="D48" s="415"/>
      <c r="E48" s="415"/>
      <c r="F48" s="415"/>
      <c r="G48" s="415"/>
      <c r="H48" s="415"/>
      <c r="I48" s="415"/>
      <c r="J48" s="415"/>
      <c r="K48" s="415"/>
      <c r="L48" s="415"/>
    </row>
    <row r="49" spans="1:12" ht="16.5">
      <c r="A49" s="415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</row>
    <row r="50" spans="1:12" ht="16.5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</row>
    <row r="51" spans="1:12" ht="16.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</row>
    <row r="52" spans="1:12" ht="16.5" customHeight="1">
      <c r="A52" s="482"/>
      <c r="B52" s="482"/>
      <c r="C52" s="748" t="s">
        <v>1021</v>
      </c>
      <c r="D52" s="748"/>
      <c r="E52" s="748"/>
      <c r="F52" s="83"/>
      <c r="G52" s="83"/>
      <c r="H52" s="748" t="s">
        <v>1024</v>
      </c>
      <c r="I52" s="748"/>
      <c r="J52" s="748"/>
      <c r="K52" s="748"/>
      <c r="L52" s="482"/>
    </row>
    <row r="53" spans="1:12" ht="16.5" customHeight="1">
      <c r="A53" s="415"/>
      <c r="B53" s="415"/>
      <c r="C53" s="748" t="s">
        <v>1022</v>
      </c>
      <c r="D53" s="748"/>
      <c r="E53" s="748"/>
      <c r="F53" s="83"/>
      <c r="G53" s="83"/>
      <c r="H53" s="748" t="s">
        <v>1025</v>
      </c>
      <c r="I53" s="748"/>
      <c r="J53" s="748"/>
      <c r="K53" s="415"/>
      <c r="L53" s="415"/>
    </row>
    <row r="54" spans="1:12" ht="16.5">
      <c r="A54" s="418" t="s">
        <v>12</v>
      </c>
      <c r="B54" s="418"/>
      <c r="C54" s="735" t="s">
        <v>1023</v>
      </c>
      <c r="D54" s="735"/>
      <c r="E54" s="735"/>
      <c r="F54" s="36"/>
      <c r="G54" s="36"/>
      <c r="H54" s="735" t="s">
        <v>1023</v>
      </c>
      <c r="I54" s="735"/>
      <c r="J54" s="735"/>
      <c r="K54" s="415"/>
      <c r="L54" s="415"/>
    </row>
    <row r="55" spans="1:12" ht="15.75" customHeight="1">
      <c r="A55" s="435"/>
      <c r="B55" s="435"/>
      <c r="C55" s="435"/>
      <c r="J55" s="435"/>
      <c r="K55" s="415"/>
      <c r="L55" s="415"/>
    </row>
    <row r="56" spans="1:12" ht="1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15"/>
      <c r="L56" s="415"/>
    </row>
    <row r="57" spans="1:12" ht="16.5">
      <c r="A57" s="415"/>
      <c r="B57" s="415"/>
      <c r="C57" s="415"/>
      <c r="D57" s="415"/>
      <c r="E57" s="415"/>
      <c r="F57" s="415"/>
      <c r="G57" s="350"/>
      <c r="H57" s="350"/>
      <c r="I57" s="368"/>
      <c r="J57" s="368"/>
      <c r="K57" s="368"/>
      <c r="L57" s="368"/>
    </row>
  </sheetData>
  <sheetProtection/>
  <mergeCells count="18">
    <mergeCell ref="K1:L1"/>
    <mergeCell ref="G9:H9"/>
    <mergeCell ref="D9:D10"/>
    <mergeCell ref="E9:F9"/>
    <mergeCell ref="I9:J9"/>
    <mergeCell ref="K9:L9"/>
    <mergeCell ref="B9:B10"/>
    <mergeCell ref="A9:A10"/>
    <mergeCell ref="C9:C10"/>
    <mergeCell ref="A2:H2"/>
    <mergeCell ref="A3:H3"/>
    <mergeCell ref="A5:L5"/>
    <mergeCell ref="C52:E52"/>
    <mergeCell ref="C53:E53"/>
    <mergeCell ref="C54:E54"/>
    <mergeCell ref="H52:K52"/>
    <mergeCell ref="H53:J53"/>
    <mergeCell ref="H54:J54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58" r:id="rId1"/>
  <colBreaks count="1" manualBreakCount="1">
    <brk id="12" max="3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view="pageBreakPreview" zoomScaleSheetLayoutView="10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17" sqref="C17:F17"/>
    </sheetView>
  </sheetViews>
  <sheetFormatPr defaultColWidth="8.8515625" defaultRowHeight="12.75"/>
  <cols>
    <col min="1" max="1" width="11.140625" style="86" customWidth="1"/>
    <col min="2" max="2" width="19.140625" style="86" customWidth="1"/>
    <col min="3" max="3" width="20.57421875" style="86" customWidth="1"/>
    <col min="4" max="4" width="22.28125" style="86" customWidth="1"/>
    <col min="5" max="5" width="25.421875" style="86" customWidth="1"/>
    <col min="6" max="6" width="27.421875" style="86" customWidth="1"/>
    <col min="7" max="16384" width="8.8515625" style="86" customWidth="1"/>
  </cols>
  <sheetData>
    <row r="1" spans="4:6" ht="12.75" customHeight="1">
      <c r="D1" s="278"/>
      <c r="E1" s="278"/>
      <c r="F1" s="279" t="s">
        <v>99</v>
      </c>
    </row>
    <row r="2" spans="2:6" ht="15" customHeight="1">
      <c r="B2" s="958" t="s">
        <v>0</v>
      </c>
      <c r="C2" s="958"/>
      <c r="D2" s="958"/>
      <c r="E2" s="958"/>
      <c r="F2" s="958"/>
    </row>
    <row r="3" spans="2:6" ht="20.25">
      <c r="B3" s="776" t="s">
        <v>656</v>
      </c>
      <c r="C3" s="776"/>
      <c r="D3" s="776"/>
      <c r="E3" s="776"/>
      <c r="F3" s="776"/>
    </row>
    <row r="4" ht="11.25" customHeight="1"/>
    <row r="5" spans="1:6" ht="12.75">
      <c r="A5" s="959" t="s">
        <v>460</v>
      </c>
      <c r="B5" s="959"/>
      <c r="C5" s="959"/>
      <c r="D5" s="959"/>
      <c r="E5" s="959"/>
      <c r="F5" s="959"/>
    </row>
    <row r="6" spans="1:6" ht="8.25" customHeight="1">
      <c r="A6" s="88"/>
      <c r="B6" s="88"/>
      <c r="C6" s="88"/>
      <c r="D6" s="88"/>
      <c r="E6" s="88"/>
      <c r="F6" s="88"/>
    </row>
    <row r="7" spans="1:3" ht="18" customHeight="1">
      <c r="A7" s="208" t="s">
        <v>1020</v>
      </c>
      <c r="B7" s="208"/>
      <c r="C7" s="209"/>
    </row>
    <row r="8" ht="18" customHeight="1" hidden="1">
      <c r="A8" s="89" t="s">
        <v>1</v>
      </c>
    </row>
    <row r="9" spans="1:6" ht="30" customHeight="1">
      <c r="A9" s="963" t="s">
        <v>2</v>
      </c>
      <c r="B9" s="963" t="s">
        <v>3</v>
      </c>
      <c r="C9" s="960" t="s">
        <v>456</v>
      </c>
      <c r="D9" s="961"/>
      <c r="E9" s="962" t="s">
        <v>459</v>
      </c>
      <c r="F9" s="962"/>
    </row>
    <row r="10" spans="1:7" s="97" customFormat="1" ht="25.5">
      <c r="A10" s="963"/>
      <c r="B10" s="963"/>
      <c r="C10" s="91" t="s">
        <v>457</v>
      </c>
      <c r="D10" s="91" t="s">
        <v>458</v>
      </c>
      <c r="E10" s="91" t="s">
        <v>457</v>
      </c>
      <c r="F10" s="91" t="s">
        <v>458</v>
      </c>
      <c r="G10" s="116"/>
    </row>
    <row r="11" spans="1:6" s="161" customFormat="1" ht="12.75">
      <c r="A11" s="160">
        <v>1</v>
      </c>
      <c r="B11" s="160">
        <v>2</v>
      </c>
      <c r="C11" s="160">
        <v>3</v>
      </c>
      <c r="D11" s="160">
        <v>4</v>
      </c>
      <c r="E11" s="160">
        <v>5</v>
      </c>
      <c r="F11" s="160">
        <v>6</v>
      </c>
    </row>
    <row r="12" spans="1:6" ht="12.75">
      <c r="A12" s="92">
        <v>1</v>
      </c>
      <c r="B12" s="328" t="s">
        <v>870</v>
      </c>
      <c r="C12" s="93">
        <f>'AT-3'!C9</f>
        <v>3133</v>
      </c>
      <c r="D12" s="93">
        <v>3133</v>
      </c>
      <c r="E12" s="93">
        <f>'AT-3'!D9+'AT-3'!E9</f>
        <v>1405</v>
      </c>
      <c r="F12" s="93">
        <v>1405</v>
      </c>
    </row>
    <row r="13" spans="1:6" ht="12.75">
      <c r="A13" s="92">
        <v>2</v>
      </c>
      <c r="B13" s="328" t="s">
        <v>871</v>
      </c>
      <c r="C13" s="93">
        <f>'AT-3'!C10</f>
        <v>637</v>
      </c>
      <c r="D13" s="93">
        <v>637</v>
      </c>
      <c r="E13" s="93">
        <f>'AT-3'!D10+'AT-3'!E10</f>
        <v>793</v>
      </c>
      <c r="F13" s="93">
        <v>793</v>
      </c>
    </row>
    <row r="14" spans="1:6" ht="12.75">
      <c r="A14" s="92">
        <v>3</v>
      </c>
      <c r="B14" s="328" t="s">
        <v>872</v>
      </c>
      <c r="C14" s="93">
        <f>'AT-3'!C11</f>
        <v>1042</v>
      </c>
      <c r="D14" s="93">
        <v>1042</v>
      </c>
      <c r="E14" s="93">
        <f>'AT-3'!D11+'AT-3'!E11</f>
        <v>1359</v>
      </c>
      <c r="F14" s="93">
        <v>1359</v>
      </c>
    </row>
    <row r="15" spans="1:6" ht="12.75">
      <c r="A15" s="92">
        <v>4</v>
      </c>
      <c r="B15" s="328" t="s">
        <v>873</v>
      </c>
      <c r="C15" s="93">
        <f>'AT-3'!C12</f>
        <v>1464</v>
      </c>
      <c r="D15" s="93">
        <v>1464</v>
      </c>
      <c r="E15" s="93">
        <f>'AT-3'!D12+'AT-3'!E12</f>
        <v>1517</v>
      </c>
      <c r="F15" s="93">
        <v>1517</v>
      </c>
    </row>
    <row r="16" spans="1:6" ht="12.75">
      <c r="A16" s="92">
        <v>5</v>
      </c>
      <c r="B16" s="328" t="s">
        <v>874</v>
      </c>
      <c r="C16" s="93">
        <f>'AT-3'!C13</f>
        <v>1956</v>
      </c>
      <c r="D16" s="93">
        <v>1956</v>
      </c>
      <c r="E16" s="93">
        <f>'AT-3'!D13+'AT-3'!E13</f>
        <v>1268</v>
      </c>
      <c r="F16" s="93">
        <v>1268</v>
      </c>
    </row>
    <row r="17" spans="1:6" ht="12.75">
      <c r="A17" s="92">
        <v>6</v>
      </c>
      <c r="B17" s="328" t="s">
        <v>875</v>
      </c>
      <c r="C17" s="672">
        <f>'AT-3'!C14</f>
        <v>593</v>
      </c>
      <c r="D17" s="672">
        <v>593</v>
      </c>
      <c r="E17" s="672">
        <f>'AT-3'!D14+'AT-3'!E14</f>
        <v>539</v>
      </c>
      <c r="F17" s="672">
        <v>539</v>
      </c>
    </row>
    <row r="18" spans="1:6" ht="12.75">
      <c r="A18" s="92">
        <v>7</v>
      </c>
      <c r="B18" s="328" t="s">
        <v>876</v>
      </c>
      <c r="C18" s="93">
        <f>'AT-3'!C15</f>
        <v>983</v>
      </c>
      <c r="D18" s="93">
        <v>983</v>
      </c>
      <c r="E18" s="93">
        <f>'AT-3'!D15+'AT-3'!E15</f>
        <v>1030</v>
      </c>
      <c r="F18" s="93">
        <v>1030</v>
      </c>
    </row>
    <row r="19" spans="1:6" ht="12.75">
      <c r="A19" s="92">
        <v>8</v>
      </c>
      <c r="B19" s="328" t="s">
        <v>877</v>
      </c>
      <c r="C19" s="93">
        <f>'AT-3'!C16</f>
        <v>1078</v>
      </c>
      <c r="D19" s="93">
        <v>1078</v>
      </c>
      <c r="E19" s="93">
        <f>'AT-3'!D16+'AT-3'!E16</f>
        <v>957</v>
      </c>
      <c r="F19" s="93">
        <v>957</v>
      </c>
    </row>
    <row r="20" spans="1:6" ht="12.75">
      <c r="A20" s="92">
        <v>9</v>
      </c>
      <c r="B20" s="328" t="s">
        <v>878</v>
      </c>
      <c r="C20" s="93">
        <f>'AT-3'!C17</f>
        <v>1177</v>
      </c>
      <c r="D20" s="93">
        <v>1177</v>
      </c>
      <c r="E20" s="93">
        <f>'AT-3'!D17+'AT-3'!E17</f>
        <v>505</v>
      </c>
      <c r="F20" s="93">
        <v>505</v>
      </c>
    </row>
    <row r="21" spans="1:6" ht="12.75">
      <c r="A21" s="92">
        <v>10</v>
      </c>
      <c r="B21" s="328" t="s">
        <v>879</v>
      </c>
      <c r="C21" s="93">
        <f>'AT-3'!C18</f>
        <v>1127</v>
      </c>
      <c r="D21" s="93">
        <v>1127</v>
      </c>
      <c r="E21" s="93">
        <f>'AT-3'!D18+'AT-3'!E18</f>
        <v>672</v>
      </c>
      <c r="F21" s="93">
        <v>672</v>
      </c>
    </row>
    <row r="22" spans="1:6" ht="12.75">
      <c r="A22" s="92">
        <v>11</v>
      </c>
      <c r="B22" s="328" t="s">
        <v>880</v>
      </c>
      <c r="C22" s="93">
        <f>'AT-3'!C19</f>
        <v>673</v>
      </c>
      <c r="D22" s="93">
        <v>673</v>
      </c>
      <c r="E22" s="93">
        <f>'AT-3'!D19+'AT-3'!E19</f>
        <v>701</v>
      </c>
      <c r="F22" s="93">
        <v>701</v>
      </c>
    </row>
    <row r="23" spans="1:6" ht="12.75">
      <c r="A23" s="92">
        <v>12</v>
      </c>
      <c r="B23" s="328" t="s">
        <v>881</v>
      </c>
      <c r="C23" s="93">
        <f>'AT-3'!C20</f>
        <v>526</v>
      </c>
      <c r="D23" s="93">
        <v>526</v>
      </c>
      <c r="E23" s="93">
        <f>'AT-3'!D20+'AT-3'!E20</f>
        <v>506</v>
      </c>
      <c r="F23" s="93">
        <v>506</v>
      </c>
    </row>
    <row r="24" spans="1:6" ht="12.75">
      <c r="A24" s="92">
        <v>13</v>
      </c>
      <c r="B24" s="328" t="s">
        <v>882</v>
      </c>
      <c r="C24" s="93">
        <f>'AT-3'!C21</f>
        <v>1540</v>
      </c>
      <c r="D24" s="93">
        <v>1540</v>
      </c>
      <c r="E24" s="93">
        <f>'AT-3'!D21+'AT-3'!E21</f>
        <v>1208</v>
      </c>
      <c r="F24" s="93">
        <v>1208</v>
      </c>
    </row>
    <row r="25" spans="1:6" ht="12.75">
      <c r="A25" s="92">
        <v>14</v>
      </c>
      <c r="B25" s="328" t="s">
        <v>883</v>
      </c>
      <c r="C25" s="93">
        <f>'AT-3'!C22</f>
        <v>1034</v>
      </c>
      <c r="D25" s="93">
        <v>1034</v>
      </c>
      <c r="E25" s="93">
        <f>'AT-3'!D22+'AT-3'!E22</f>
        <v>889</v>
      </c>
      <c r="F25" s="93">
        <v>889</v>
      </c>
    </row>
    <row r="26" spans="1:6" ht="12.75">
      <c r="A26" s="92">
        <v>15</v>
      </c>
      <c r="B26" s="328" t="s">
        <v>884</v>
      </c>
      <c r="C26" s="93">
        <f>'AT-3'!C23</f>
        <v>1223</v>
      </c>
      <c r="D26" s="93">
        <v>1223</v>
      </c>
      <c r="E26" s="93">
        <f>'AT-3'!D23+'AT-3'!E23</f>
        <v>1838</v>
      </c>
      <c r="F26" s="93">
        <v>1838</v>
      </c>
    </row>
    <row r="27" spans="1:6" ht="12.75">
      <c r="A27" s="92">
        <v>16</v>
      </c>
      <c r="B27" s="328" t="s">
        <v>885</v>
      </c>
      <c r="C27" s="93">
        <f>'AT-3'!C24</f>
        <v>857</v>
      </c>
      <c r="D27" s="93">
        <v>857</v>
      </c>
      <c r="E27" s="93">
        <f>'AT-3'!D24+'AT-3'!E24</f>
        <v>1280</v>
      </c>
      <c r="F27" s="93">
        <v>1280</v>
      </c>
    </row>
    <row r="28" spans="1:6" ht="12.75">
      <c r="A28" s="92">
        <v>17</v>
      </c>
      <c r="B28" s="328" t="s">
        <v>886</v>
      </c>
      <c r="C28" s="93">
        <f>'AT-3'!C25</f>
        <v>580</v>
      </c>
      <c r="D28" s="93">
        <v>580</v>
      </c>
      <c r="E28" s="93">
        <f>'AT-3'!D25+'AT-3'!E25</f>
        <v>1809</v>
      </c>
      <c r="F28" s="93">
        <v>1809</v>
      </c>
    </row>
    <row r="29" spans="1:6" ht="12.75">
      <c r="A29" s="92">
        <v>18</v>
      </c>
      <c r="B29" s="328" t="s">
        <v>887</v>
      </c>
      <c r="C29" s="93">
        <f>'AT-3'!C26</f>
        <v>1405</v>
      </c>
      <c r="D29" s="93">
        <v>1405</v>
      </c>
      <c r="E29" s="93">
        <f>'AT-3'!D26+'AT-3'!E26</f>
        <v>1444</v>
      </c>
      <c r="F29" s="93">
        <v>1444</v>
      </c>
    </row>
    <row r="30" spans="1:6" ht="12.75">
      <c r="A30" s="92">
        <v>19</v>
      </c>
      <c r="B30" s="328" t="s">
        <v>888</v>
      </c>
      <c r="C30" s="93">
        <f>'AT-3'!C27</f>
        <v>1616</v>
      </c>
      <c r="D30" s="93">
        <v>1616</v>
      </c>
      <c r="E30" s="93">
        <f>'AT-3'!D27+'AT-3'!E27</f>
        <v>1405</v>
      </c>
      <c r="F30" s="93">
        <v>1405</v>
      </c>
    </row>
    <row r="31" spans="1:6" ht="12.75">
      <c r="A31" s="92">
        <v>20</v>
      </c>
      <c r="B31" s="328" t="s">
        <v>889</v>
      </c>
      <c r="C31" s="93">
        <f>'AT-3'!C28</f>
        <v>1275</v>
      </c>
      <c r="D31" s="93">
        <v>1275</v>
      </c>
      <c r="E31" s="93">
        <f>'AT-3'!D28+'AT-3'!E28</f>
        <v>430</v>
      </c>
      <c r="F31" s="93">
        <v>430</v>
      </c>
    </row>
    <row r="32" spans="1:6" ht="12.75">
      <c r="A32" s="92">
        <v>21</v>
      </c>
      <c r="B32" s="328" t="s">
        <v>890</v>
      </c>
      <c r="C32" s="93">
        <f>'AT-3'!C29</f>
        <v>2791</v>
      </c>
      <c r="D32" s="93">
        <v>2791</v>
      </c>
      <c r="E32" s="93">
        <f>'AT-3'!D29+'AT-3'!E29</f>
        <v>1658</v>
      </c>
      <c r="F32" s="93">
        <v>1658</v>
      </c>
    </row>
    <row r="33" spans="1:6" ht="12.75">
      <c r="A33" s="92">
        <v>22</v>
      </c>
      <c r="B33" s="328" t="s">
        <v>891</v>
      </c>
      <c r="C33" s="93">
        <f>'AT-3'!C30</f>
        <v>617</v>
      </c>
      <c r="D33" s="93">
        <v>617</v>
      </c>
      <c r="E33" s="93">
        <f>'AT-3'!D30+'AT-3'!E30</f>
        <v>931</v>
      </c>
      <c r="F33" s="93">
        <v>931</v>
      </c>
    </row>
    <row r="34" spans="1:6" ht="12.75">
      <c r="A34" s="92">
        <v>23</v>
      </c>
      <c r="B34" s="328" t="s">
        <v>892</v>
      </c>
      <c r="C34" s="93">
        <f>'AT-3'!C31</f>
        <v>657</v>
      </c>
      <c r="D34" s="93">
        <v>657</v>
      </c>
      <c r="E34" s="93">
        <f>'AT-3'!D31+'AT-3'!E31</f>
        <v>926</v>
      </c>
      <c r="F34" s="93">
        <v>926</v>
      </c>
    </row>
    <row r="35" spans="1:6" ht="12.75">
      <c r="A35" s="92">
        <v>24</v>
      </c>
      <c r="B35" s="328" t="s">
        <v>893</v>
      </c>
      <c r="C35" s="93">
        <f>'AT-3'!C32</f>
        <v>3118</v>
      </c>
      <c r="D35" s="93">
        <v>3118</v>
      </c>
      <c r="E35" s="93">
        <f>'AT-3'!D32+'AT-3'!E32</f>
        <v>2314</v>
      </c>
      <c r="F35" s="93">
        <v>2314</v>
      </c>
    </row>
    <row r="36" spans="1:6" ht="12.75">
      <c r="A36" s="92">
        <v>25</v>
      </c>
      <c r="B36" s="328" t="s">
        <v>894</v>
      </c>
      <c r="C36" s="93">
        <f>'AT-3'!C33</f>
        <v>2121</v>
      </c>
      <c r="D36" s="93">
        <v>2121</v>
      </c>
      <c r="E36" s="93">
        <f>'AT-3'!D33+'AT-3'!E33</f>
        <v>1087</v>
      </c>
      <c r="F36" s="93">
        <v>1087</v>
      </c>
    </row>
    <row r="37" spans="1:6" ht="12.75">
      <c r="A37" s="92">
        <v>26</v>
      </c>
      <c r="B37" s="328" t="s">
        <v>895</v>
      </c>
      <c r="C37" s="93">
        <f>'AT-3'!C34</f>
        <v>1729</v>
      </c>
      <c r="D37" s="93">
        <v>1729</v>
      </c>
      <c r="E37" s="93">
        <f>'AT-3'!D34+'AT-3'!E34</f>
        <v>1347</v>
      </c>
      <c r="F37" s="93">
        <v>1347</v>
      </c>
    </row>
    <row r="38" spans="1:6" ht="12.75">
      <c r="A38" s="92">
        <v>27</v>
      </c>
      <c r="B38" s="328" t="s">
        <v>896</v>
      </c>
      <c r="C38" s="93">
        <f>'AT-3'!C35</f>
        <v>1306</v>
      </c>
      <c r="D38" s="93">
        <v>1306</v>
      </c>
      <c r="E38" s="93">
        <f>'AT-3'!D35+'AT-3'!E35</f>
        <v>1209</v>
      </c>
      <c r="F38" s="93">
        <v>1209</v>
      </c>
    </row>
    <row r="39" spans="1:6" ht="12.75">
      <c r="A39" s="92">
        <v>28</v>
      </c>
      <c r="B39" s="328" t="s">
        <v>897</v>
      </c>
      <c r="C39" s="93">
        <f>'AT-3'!C36</f>
        <v>1981</v>
      </c>
      <c r="D39" s="93">
        <v>1981</v>
      </c>
      <c r="E39" s="93">
        <f>'AT-3'!D36+'AT-3'!E36</f>
        <v>1455</v>
      </c>
      <c r="F39" s="93">
        <v>1455</v>
      </c>
    </row>
    <row r="40" spans="1:6" ht="12.75">
      <c r="A40" s="92">
        <v>29</v>
      </c>
      <c r="B40" s="328" t="s">
        <v>898</v>
      </c>
      <c r="C40" s="93">
        <f>'AT-3'!C37</f>
        <v>956</v>
      </c>
      <c r="D40" s="93">
        <v>956</v>
      </c>
      <c r="E40" s="93">
        <f>'AT-3'!D37+'AT-3'!E37</f>
        <v>714</v>
      </c>
      <c r="F40" s="93">
        <v>714</v>
      </c>
    </row>
    <row r="41" spans="1:6" ht="12.75">
      <c r="A41" s="92">
        <v>30</v>
      </c>
      <c r="B41" s="328" t="s">
        <v>899</v>
      </c>
      <c r="C41" s="93">
        <f>'AT-3'!C38</f>
        <v>2138</v>
      </c>
      <c r="D41" s="93">
        <v>2138</v>
      </c>
      <c r="E41" s="93">
        <f>'AT-3'!D38+'AT-3'!E38</f>
        <v>1935</v>
      </c>
      <c r="F41" s="93">
        <v>1935</v>
      </c>
    </row>
    <row r="42" spans="1:6" ht="12.75">
      <c r="A42" s="92">
        <v>31</v>
      </c>
      <c r="B42" s="328" t="s">
        <v>900</v>
      </c>
      <c r="C42" s="93">
        <f>'AT-3'!C39</f>
        <v>1278</v>
      </c>
      <c r="D42" s="93">
        <v>1278</v>
      </c>
      <c r="E42" s="93">
        <f>'AT-3'!D39+'AT-3'!E39</f>
        <v>1507</v>
      </c>
      <c r="F42" s="93">
        <v>1507</v>
      </c>
    </row>
    <row r="43" spans="1:6" ht="12.75">
      <c r="A43" s="92">
        <v>32</v>
      </c>
      <c r="B43" s="328" t="s">
        <v>901</v>
      </c>
      <c r="C43" s="93">
        <f>'AT-3'!C40</f>
        <v>1654</v>
      </c>
      <c r="D43" s="93">
        <v>1654</v>
      </c>
      <c r="E43" s="93">
        <f>'AT-3'!D40+'AT-3'!E40</f>
        <v>739</v>
      </c>
      <c r="F43" s="93">
        <v>739</v>
      </c>
    </row>
    <row r="44" spans="1:6" ht="12.75">
      <c r="A44" s="92">
        <v>33</v>
      </c>
      <c r="B44" s="328" t="s">
        <v>902</v>
      </c>
      <c r="C44" s="93">
        <f>'AT-3'!C41</f>
        <v>704</v>
      </c>
      <c r="D44" s="93">
        <v>704</v>
      </c>
      <c r="E44" s="93">
        <f>'AT-3'!D41+'AT-3'!E41</f>
        <v>542</v>
      </c>
      <c r="F44" s="93">
        <v>542</v>
      </c>
    </row>
    <row r="45" spans="1:6" ht="12.75">
      <c r="A45" s="92">
        <v>34</v>
      </c>
      <c r="B45" s="328" t="s">
        <v>903</v>
      </c>
      <c r="C45" s="93">
        <f>'AT-3'!C42</f>
        <v>519</v>
      </c>
      <c r="D45" s="93">
        <v>519</v>
      </c>
      <c r="E45" s="93">
        <f>'AT-3'!D42+'AT-3'!E42</f>
        <v>591</v>
      </c>
      <c r="F45" s="93">
        <v>591</v>
      </c>
    </row>
    <row r="46" spans="1:6" ht="12.75">
      <c r="A46" s="92">
        <v>35</v>
      </c>
      <c r="B46" s="328" t="s">
        <v>904</v>
      </c>
      <c r="C46" s="93">
        <f>'AT-3'!C43</f>
        <v>1380</v>
      </c>
      <c r="D46" s="93">
        <v>1380</v>
      </c>
      <c r="E46" s="93">
        <f>'AT-3'!D43+'AT-3'!E43</f>
        <v>1402</v>
      </c>
      <c r="F46" s="93">
        <v>1402</v>
      </c>
    </row>
    <row r="47" spans="1:6" ht="12.75">
      <c r="A47" s="90" t="s">
        <v>19</v>
      </c>
      <c r="B47" s="93"/>
      <c r="C47" s="93">
        <f>SUM(C12:C46)</f>
        <v>46868</v>
      </c>
      <c r="D47" s="93">
        <f>SUM(D12:D46)</f>
        <v>46868</v>
      </c>
      <c r="E47" s="93">
        <f>SUM(E12:E46)</f>
        <v>39912</v>
      </c>
      <c r="F47" s="93">
        <f>SUM(F12:F46)</f>
        <v>39912</v>
      </c>
    </row>
    <row r="48" spans="1:6" ht="12.75">
      <c r="A48" s="94"/>
      <c r="B48" s="95"/>
      <c r="C48" s="95"/>
      <c r="D48" s="95"/>
      <c r="E48" s="95"/>
      <c r="F48" s="95"/>
    </row>
    <row r="49" ht="12.75">
      <c r="C49" s="86" t="s">
        <v>11</v>
      </c>
    </row>
    <row r="50" spans="1:6" ht="15.75" customHeight="1">
      <c r="A50" s="96" t="s">
        <v>12</v>
      </c>
      <c r="B50" s="748" t="s">
        <v>1021</v>
      </c>
      <c r="C50" s="748"/>
      <c r="E50" s="748" t="s">
        <v>1024</v>
      </c>
      <c r="F50" s="748"/>
    </row>
    <row r="51" spans="1:6" ht="15" customHeight="1">
      <c r="A51" s="133"/>
      <c r="B51" s="748" t="s">
        <v>1022</v>
      </c>
      <c r="C51" s="748"/>
      <c r="E51" s="748" t="s">
        <v>1025</v>
      </c>
      <c r="F51" s="748"/>
    </row>
    <row r="52" spans="1:6" ht="15.75" customHeight="1">
      <c r="A52" s="133"/>
      <c r="B52" s="735" t="s">
        <v>1023</v>
      </c>
      <c r="C52" s="735"/>
      <c r="E52" s="735" t="s">
        <v>1023</v>
      </c>
      <c r="F52" s="735"/>
    </row>
    <row r="53" spans="3:8" ht="12.75">
      <c r="C53"/>
      <c r="D53"/>
      <c r="E53"/>
      <c r="F53"/>
      <c r="G53"/>
      <c r="H53"/>
    </row>
    <row r="54" spans="1:6" ht="12.75">
      <c r="A54" s="957"/>
      <c r="B54" s="957"/>
      <c r="C54" s="957"/>
      <c r="D54" s="957"/>
      <c r="E54" s="957"/>
      <c r="F54" s="957"/>
    </row>
  </sheetData>
  <sheetProtection/>
  <mergeCells count="14">
    <mergeCell ref="B2:F2"/>
    <mergeCell ref="A5:F5"/>
    <mergeCell ref="C9:D9"/>
    <mergeCell ref="E9:F9"/>
    <mergeCell ref="A9:A10"/>
    <mergeCell ref="B9:B10"/>
    <mergeCell ref="E52:F52"/>
    <mergeCell ref="B50:C50"/>
    <mergeCell ref="B51:C51"/>
    <mergeCell ref="B52:C52"/>
    <mergeCell ref="A54:F54"/>
    <mergeCell ref="B3:F3"/>
    <mergeCell ref="E50:F50"/>
    <mergeCell ref="E51:F51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82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BreakPreview" zoomScaleNormal="85" zoomScaleSheetLayoutView="100" zoomScalePageLayoutView="0" workbookViewId="0" topLeftCell="A1">
      <pane xSplit="2" ySplit="10" topLeftCell="C5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58" sqref="G58:J58"/>
    </sheetView>
  </sheetViews>
  <sheetFormatPr defaultColWidth="9.140625" defaultRowHeight="12.75"/>
  <cols>
    <col min="2" max="2" width="15.28125" style="0" customWidth="1"/>
    <col min="3" max="3" width="16.421875" style="0" customWidth="1"/>
    <col min="4" max="4" width="10.8515625" style="0" customWidth="1"/>
    <col min="5" max="5" width="13.7109375" style="0" customWidth="1"/>
    <col min="6" max="6" width="14.28125" style="0" customWidth="1"/>
    <col min="7" max="7" width="11.421875" style="0" customWidth="1"/>
    <col min="8" max="8" width="12.28125" style="0" customWidth="1"/>
    <col min="9" max="9" width="16.28125" style="0" customWidth="1"/>
    <col min="10" max="10" width="19.28125" style="0" customWidth="1"/>
  </cols>
  <sheetData>
    <row r="1" spans="1:35" ht="16.5">
      <c r="A1" s="415"/>
      <c r="B1" s="415"/>
      <c r="C1" s="415"/>
      <c r="D1" s="814"/>
      <c r="E1" s="814"/>
      <c r="F1" s="400"/>
      <c r="G1" s="814" t="s">
        <v>462</v>
      </c>
      <c r="H1" s="814"/>
      <c r="I1" s="814"/>
      <c r="J1" s="814"/>
      <c r="K1" s="98"/>
      <c r="L1" s="86"/>
      <c r="M1" s="86"/>
      <c r="Z1" s="415"/>
      <c r="AA1" s="415"/>
      <c r="AB1" s="415"/>
      <c r="AC1" s="814"/>
      <c r="AD1" s="814"/>
      <c r="AE1" s="400"/>
      <c r="AF1" s="814" t="s">
        <v>462</v>
      </c>
      <c r="AG1" s="814"/>
      <c r="AH1" s="814"/>
      <c r="AI1" s="814"/>
    </row>
    <row r="2" spans="1:35" ht="16.5">
      <c r="A2" s="870" t="s">
        <v>0</v>
      </c>
      <c r="B2" s="870"/>
      <c r="C2" s="870"/>
      <c r="D2" s="870"/>
      <c r="E2" s="870"/>
      <c r="F2" s="870"/>
      <c r="G2" s="870"/>
      <c r="H2" s="870"/>
      <c r="I2" s="870"/>
      <c r="J2" s="870"/>
      <c r="K2" s="86"/>
      <c r="L2" s="86"/>
      <c r="M2" s="86"/>
      <c r="Z2" s="870" t="s">
        <v>0</v>
      </c>
      <c r="AA2" s="870"/>
      <c r="AB2" s="870"/>
      <c r="AC2" s="870"/>
      <c r="AD2" s="870"/>
      <c r="AE2" s="870"/>
      <c r="AF2" s="870"/>
      <c r="AG2" s="870"/>
      <c r="AH2" s="870"/>
      <c r="AI2" s="870"/>
    </row>
    <row r="3" spans="1:35" ht="16.5">
      <c r="A3" s="403"/>
      <c r="B3" s="403"/>
      <c r="C3" s="870" t="s">
        <v>656</v>
      </c>
      <c r="D3" s="870"/>
      <c r="E3" s="870"/>
      <c r="F3" s="870"/>
      <c r="G3" s="870"/>
      <c r="H3" s="870"/>
      <c r="I3" s="870"/>
      <c r="J3" s="403"/>
      <c r="K3" s="86"/>
      <c r="L3" s="86"/>
      <c r="M3" s="86"/>
      <c r="Z3" s="403"/>
      <c r="AA3" s="403"/>
      <c r="AB3" s="870" t="s">
        <v>656</v>
      </c>
      <c r="AC3" s="870"/>
      <c r="AD3" s="870"/>
      <c r="AE3" s="870"/>
      <c r="AF3" s="870"/>
      <c r="AG3" s="870"/>
      <c r="AH3" s="870"/>
      <c r="AI3" s="403"/>
    </row>
    <row r="4" spans="1:35" ht="16.5">
      <c r="A4" s="954" t="s">
        <v>461</v>
      </c>
      <c r="B4" s="954"/>
      <c r="C4" s="954"/>
      <c r="D4" s="954"/>
      <c r="E4" s="954"/>
      <c r="F4" s="954"/>
      <c r="G4" s="954"/>
      <c r="H4" s="954"/>
      <c r="I4" s="954"/>
      <c r="J4" s="954"/>
      <c r="K4" s="86"/>
      <c r="L4" s="86"/>
      <c r="M4" s="86"/>
      <c r="Z4" s="954" t="s">
        <v>461</v>
      </c>
      <c r="AA4" s="954"/>
      <c r="AB4" s="954"/>
      <c r="AC4" s="954"/>
      <c r="AD4" s="954"/>
      <c r="AE4" s="954"/>
      <c r="AF4" s="954"/>
      <c r="AG4" s="954"/>
      <c r="AH4" s="954"/>
      <c r="AI4" s="954"/>
    </row>
    <row r="5" spans="1:35" ht="16.5">
      <c r="A5" s="208" t="s">
        <v>1020</v>
      </c>
      <c r="B5" s="208"/>
      <c r="C5" s="209"/>
      <c r="D5" s="416"/>
      <c r="E5" s="416"/>
      <c r="F5" s="416"/>
      <c r="G5" s="416"/>
      <c r="H5" s="416"/>
      <c r="I5" s="416"/>
      <c r="J5" s="416"/>
      <c r="K5" s="86"/>
      <c r="L5" s="86"/>
      <c r="M5" s="86"/>
      <c r="Z5" s="972" t="s">
        <v>164</v>
      </c>
      <c r="AA5" s="972"/>
      <c r="AB5" s="416"/>
      <c r="AC5" s="416"/>
      <c r="AD5" s="416"/>
      <c r="AE5" s="416"/>
      <c r="AF5" s="416"/>
      <c r="AG5" s="416"/>
      <c r="AH5" s="416"/>
      <c r="AI5" s="416"/>
    </row>
    <row r="6" spans="1:35" ht="16.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86"/>
      <c r="L6" s="86"/>
      <c r="M6" s="86"/>
      <c r="Z6" s="415"/>
      <c r="AA6" s="415"/>
      <c r="AB6" s="415"/>
      <c r="AC6" s="415"/>
      <c r="AD6" s="415"/>
      <c r="AE6" s="415"/>
      <c r="AF6" s="415"/>
      <c r="AG6" s="415"/>
      <c r="AH6" s="415"/>
      <c r="AI6" s="415"/>
    </row>
    <row r="7" spans="1:35" ht="16.5">
      <c r="A7" s="418"/>
      <c r="B7" s="415"/>
      <c r="C7" s="415"/>
      <c r="D7" s="415"/>
      <c r="E7" s="415"/>
      <c r="F7" s="415"/>
      <c r="G7" s="415"/>
      <c r="H7" s="415"/>
      <c r="I7" s="415"/>
      <c r="J7" s="415"/>
      <c r="K7" s="86"/>
      <c r="L7" s="86"/>
      <c r="M7" s="86"/>
      <c r="Z7" s="418"/>
      <c r="AA7" s="415"/>
      <c r="AB7" s="415"/>
      <c r="AC7" s="415"/>
      <c r="AD7" s="415"/>
      <c r="AE7" s="415"/>
      <c r="AF7" s="415"/>
      <c r="AG7" s="415"/>
      <c r="AH7" s="415"/>
      <c r="AI7" s="415"/>
    </row>
    <row r="8" spans="1:35" ht="21.75" customHeight="1">
      <c r="A8" s="967" t="s">
        <v>2</v>
      </c>
      <c r="B8" s="967" t="s">
        <v>3</v>
      </c>
      <c r="C8" s="969" t="s">
        <v>141</v>
      </c>
      <c r="D8" s="970"/>
      <c r="E8" s="970"/>
      <c r="F8" s="970"/>
      <c r="G8" s="970"/>
      <c r="H8" s="970"/>
      <c r="I8" s="970"/>
      <c r="J8" s="971"/>
      <c r="K8" s="86"/>
      <c r="L8" s="86"/>
      <c r="M8" s="86"/>
      <c r="Z8" s="974" t="s">
        <v>2</v>
      </c>
      <c r="AA8" s="974" t="s">
        <v>3</v>
      </c>
      <c r="AB8" s="969" t="s">
        <v>141</v>
      </c>
      <c r="AC8" s="970"/>
      <c r="AD8" s="970"/>
      <c r="AE8" s="970"/>
      <c r="AF8" s="970"/>
      <c r="AG8" s="970"/>
      <c r="AH8" s="970"/>
      <c r="AI8" s="971"/>
    </row>
    <row r="9" spans="1:35" ht="34.5" customHeight="1">
      <c r="A9" s="968"/>
      <c r="B9" s="968"/>
      <c r="C9" s="91" t="s">
        <v>200</v>
      </c>
      <c r="D9" s="91" t="s">
        <v>121</v>
      </c>
      <c r="E9" s="91" t="s">
        <v>398</v>
      </c>
      <c r="F9" s="553" t="s">
        <v>168</v>
      </c>
      <c r="G9" s="553" t="s">
        <v>122</v>
      </c>
      <c r="H9" s="554" t="s">
        <v>199</v>
      </c>
      <c r="I9" s="554" t="s">
        <v>220</v>
      </c>
      <c r="J9" s="555" t="s">
        <v>19</v>
      </c>
      <c r="K9" s="97"/>
      <c r="L9" s="97"/>
      <c r="M9" s="97"/>
      <c r="Z9" s="975"/>
      <c r="AA9" s="975"/>
      <c r="AB9" s="421" t="s">
        <v>200</v>
      </c>
      <c r="AC9" s="421" t="s">
        <v>121</v>
      </c>
      <c r="AD9" s="421" t="s">
        <v>398</v>
      </c>
      <c r="AE9" s="428" t="s">
        <v>168</v>
      </c>
      <c r="AF9" s="428" t="s">
        <v>122</v>
      </c>
      <c r="AG9" s="429" t="s">
        <v>199</v>
      </c>
      <c r="AH9" s="429" t="s">
        <v>220</v>
      </c>
      <c r="AI9" s="430" t="s">
        <v>19</v>
      </c>
    </row>
    <row r="10" spans="1:35" s="15" customFormat="1" ht="16.5">
      <c r="A10" s="421">
        <v>1</v>
      </c>
      <c r="B10" s="421">
        <v>2</v>
      </c>
      <c r="C10" s="421">
        <v>3</v>
      </c>
      <c r="D10" s="421">
        <v>4</v>
      </c>
      <c r="E10" s="421">
        <v>5</v>
      </c>
      <c r="F10" s="421">
        <v>6</v>
      </c>
      <c r="G10" s="421">
        <v>7</v>
      </c>
      <c r="H10" s="431">
        <v>8</v>
      </c>
      <c r="I10" s="431">
        <v>9</v>
      </c>
      <c r="J10" s="430">
        <v>10</v>
      </c>
      <c r="K10" s="97"/>
      <c r="L10" s="97"/>
      <c r="M10" s="97"/>
      <c r="Z10" s="421">
        <v>1</v>
      </c>
      <c r="AA10" s="421">
        <v>2</v>
      </c>
      <c r="AB10" s="421">
        <v>3</v>
      </c>
      <c r="AC10" s="421">
        <v>4</v>
      </c>
      <c r="AD10" s="421">
        <v>5</v>
      </c>
      <c r="AE10" s="421">
        <v>6</v>
      </c>
      <c r="AF10" s="421">
        <v>7</v>
      </c>
      <c r="AG10" s="431">
        <v>8</v>
      </c>
      <c r="AH10" s="431">
        <v>9</v>
      </c>
      <c r="AI10" s="430">
        <v>10</v>
      </c>
    </row>
    <row r="11" spans="1:35" ht="16.5">
      <c r="A11" s="423">
        <v>1</v>
      </c>
      <c r="B11" s="373" t="s">
        <v>870</v>
      </c>
      <c r="C11" s="424">
        <v>0</v>
      </c>
      <c r="D11" s="424">
        <v>0</v>
      </c>
      <c r="E11" s="424">
        <f>'AT-3'!F9</f>
        <v>4538</v>
      </c>
      <c r="F11" s="424">
        <v>0</v>
      </c>
      <c r="G11" s="424">
        <v>0</v>
      </c>
      <c r="H11" s="432">
        <v>0</v>
      </c>
      <c r="I11" s="432">
        <v>0</v>
      </c>
      <c r="J11" s="433">
        <f>SUM(C11:I11)</f>
        <v>4538</v>
      </c>
      <c r="K11" s="86"/>
      <c r="L11" s="86"/>
      <c r="M11" s="86"/>
      <c r="Z11" s="423">
        <v>1</v>
      </c>
      <c r="AA11" s="373" t="s">
        <v>870</v>
      </c>
      <c r="AB11" s="424">
        <v>0</v>
      </c>
      <c r="AC11" s="424">
        <v>62</v>
      </c>
      <c r="AD11" s="424">
        <v>4476</v>
      </c>
      <c r="AE11" s="424">
        <v>0</v>
      </c>
      <c r="AF11" s="424">
        <v>0</v>
      </c>
      <c r="AG11" s="432">
        <v>0</v>
      </c>
      <c r="AH11" s="432">
        <v>0</v>
      </c>
      <c r="AI11" s="433">
        <v>4538</v>
      </c>
    </row>
    <row r="12" spans="1:35" ht="16.5">
      <c r="A12" s="423">
        <v>2</v>
      </c>
      <c r="B12" s="373" t="s">
        <v>871</v>
      </c>
      <c r="C12" s="424">
        <v>0</v>
      </c>
      <c r="D12" s="424">
        <v>0</v>
      </c>
      <c r="E12" s="424">
        <f>'AT-3'!F10</f>
        <v>1430</v>
      </c>
      <c r="F12" s="424">
        <v>0</v>
      </c>
      <c r="G12" s="424">
        <v>0</v>
      </c>
      <c r="H12" s="432">
        <v>0</v>
      </c>
      <c r="I12" s="432">
        <v>0</v>
      </c>
      <c r="J12" s="433">
        <f aca="true" t="shared" si="0" ref="J12:J45">SUM(C12:I12)</f>
        <v>1430</v>
      </c>
      <c r="K12" s="86"/>
      <c r="L12" s="86"/>
      <c r="M12" s="86"/>
      <c r="Z12" s="423">
        <v>2</v>
      </c>
      <c r="AA12" s="373" t="s">
        <v>871</v>
      </c>
      <c r="AB12" s="424">
        <v>0</v>
      </c>
      <c r="AC12" s="424">
        <v>0</v>
      </c>
      <c r="AD12" s="424">
        <v>1430</v>
      </c>
      <c r="AE12" s="424">
        <v>0</v>
      </c>
      <c r="AF12" s="424">
        <v>0</v>
      </c>
      <c r="AG12" s="432">
        <v>0</v>
      </c>
      <c r="AH12" s="432">
        <v>0</v>
      </c>
      <c r="AI12" s="433">
        <v>1430</v>
      </c>
    </row>
    <row r="13" spans="1:35" ht="16.5">
      <c r="A13" s="423">
        <v>3</v>
      </c>
      <c r="B13" s="373" t="s">
        <v>872</v>
      </c>
      <c r="C13" s="424">
        <v>0</v>
      </c>
      <c r="D13" s="424">
        <v>0</v>
      </c>
      <c r="E13" s="424">
        <f>'AT-3'!F11</f>
        <v>2401</v>
      </c>
      <c r="F13" s="424">
        <v>0</v>
      </c>
      <c r="G13" s="424">
        <v>0</v>
      </c>
      <c r="H13" s="432">
        <v>0</v>
      </c>
      <c r="I13" s="432">
        <v>0</v>
      </c>
      <c r="J13" s="433">
        <f t="shared" si="0"/>
        <v>2401</v>
      </c>
      <c r="K13" s="86"/>
      <c r="L13" s="86"/>
      <c r="M13" s="86"/>
      <c r="Z13" s="423">
        <v>3</v>
      </c>
      <c r="AA13" s="373" t="s">
        <v>872</v>
      </c>
      <c r="AB13" s="424">
        <v>0</v>
      </c>
      <c r="AC13" s="424">
        <v>0</v>
      </c>
      <c r="AD13" s="424">
        <v>2401</v>
      </c>
      <c r="AE13" s="424">
        <v>0</v>
      </c>
      <c r="AF13" s="424">
        <v>0</v>
      </c>
      <c r="AG13" s="432">
        <v>0</v>
      </c>
      <c r="AH13" s="432">
        <v>0</v>
      </c>
      <c r="AI13" s="433">
        <v>2401</v>
      </c>
    </row>
    <row r="14" spans="1:35" ht="16.5">
      <c r="A14" s="423">
        <v>4</v>
      </c>
      <c r="B14" s="373" t="s">
        <v>873</v>
      </c>
      <c r="C14" s="424">
        <v>0</v>
      </c>
      <c r="D14" s="424">
        <v>0</v>
      </c>
      <c r="E14" s="424">
        <f>'AT-3'!F12</f>
        <v>2981</v>
      </c>
      <c r="F14" s="424">
        <v>0</v>
      </c>
      <c r="G14" s="424">
        <v>0</v>
      </c>
      <c r="H14" s="432">
        <v>0</v>
      </c>
      <c r="I14" s="432">
        <v>0</v>
      </c>
      <c r="J14" s="433">
        <f t="shared" si="0"/>
        <v>2981</v>
      </c>
      <c r="K14" s="86"/>
      <c r="L14" s="86"/>
      <c r="M14" s="86"/>
      <c r="Z14" s="423">
        <v>4</v>
      </c>
      <c r="AA14" s="373" t="s">
        <v>873</v>
      </c>
      <c r="AB14" s="424">
        <v>0</v>
      </c>
      <c r="AC14" s="424">
        <v>0</v>
      </c>
      <c r="AD14" s="424">
        <v>2981</v>
      </c>
      <c r="AE14" s="424">
        <v>0</v>
      </c>
      <c r="AF14" s="424">
        <v>0</v>
      </c>
      <c r="AG14" s="432">
        <v>0</v>
      </c>
      <c r="AH14" s="432">
        <v>0</v>
      </c>
      <c r="AI14" s="433">
        <v>2981</v>
      </c>
    </row>
    <row r="15" spans="1:35" ht="16.5">
      <c r="A15" s="423">
        <v>5</v>
      </c>
      <c r="B15" s="373" t="s">
        <v>874</v>
      </c>
      <c r="C15" s="424">
        <v>0</v>
      </c>
      <c r="D15" s="424">
        <v>0</v>
      </c>
      <c r="E15" s="424">
        <f>'AT-3'!F13</f>
        <v>3224</v>
      </c>
      <c r="F15" s="424">
        <v>0</v>
      </c>
      <c r="G15" s="424">
        <v>0</v>
      </c>
      <c r="H15" s="432">
        <v>0</v>
      </c>
      <c r="I15" s="432">
        <v>0</v>
      </c>
      <c r="J15" s="433">
        <f t="shared" si="0"/>
        <v>3224</v>
      </c>
      <c r="K15" s="86"/>
      <c r="L15" s="86"/>
      <c r="M15" s="86"/>
      <c r="Z15" s="423">
        <v>5</v>
      </c>
      <c r="AA15" s="373" t="s">
        <v>874</v>
      </c>
      <c r="AB15" s="424">
        <v>0</v>
      </c>
      <c r="AC15" s="424">
        <v>0</v>
      </c>
      <c r="AD15" s="424">
        <v>3224</v>
      </c>
      <c r="AE15" s="424">
        <v>0</v>
      </c>
      <c r="AF15" s="424">
        <v>0</v>
      </c>
      <c r="AG15" s="432">
        <v>0</v>
      </c>
      <c r="AH15" s="432">
        <v>0</v>
      </c>
      <c r="AI15" s="433">
        <v>3224</v>
      </c>
    </row>
    <row r="16" spans="1:35" ht="16.5">
      <c r="A16" s="423">
        <v>6</v>
      </c>
      <c r="B16" s="373" t="s">
        <v>875</v>
      </c>
      <c r="C16" s="424">
        <v>0</v>
      </c>
      <c r="D16" s="424">
        <v>0</v>
      </c>
      <c r="E16" s="424">
        <f>'AT-3'!F14</f>
        <v>1132</v>
      </c>
      <c r="F16" s="424">
        <v>0</v>
      </c>
      <c r="G16" s="424">
        <v>0</v>
      </c>
      <c r="H16" s="432">
        <v>0</v>
      </c>
      <c r="I16" s="432">
        <v>0</v>
      </c>
      <c r="J16" s="433">
        <f t="shared" si="0"/>
        <v>1132</v>
      </c>
      <c r="K16" s="86"/>
      <c r="L16" s="86"/>
      <c r="M16" s="86"/>
      <c r="Z16" s="423">
        <v>6</v>
      </c>
      <c r="AA16" s="373" t="s">
        <v>875</v>
      </c>
      <c r="AB16" s="424"/>
      <c r="AC16" s="424"/>
      <c r="AD16" s="424"/>
      <c r="AE16" s="424"/>
      <c r="AF16" s="424"/>
      <c r="AG16" s="432"/>
      <c r="AH16" s="432"/>
      <c r="AI16" s="433"/>
    </row>
    <row r="17" spans="1:35" ht="16.5">
      <c r="A17" s="423">
        <v>7</v>
      </c>
      <c r="B17" s="373" t="s">
        <v>876</v>
      </c>
      <c r="C17" s="424">
        <v>0</v>
      </c>
      <c r="D17" s="424">
        <v>0</v>
      </c>
      <c r="E17" s="424">
        <f>'AT-3'!F15</f>
        <v>2013</v>
      </c>
      <c r="F17" s="424">
        <v>0</v>
      </c>
      <c r="G17" s="424">
        <v>0</v>
      </c>
      <c r="H17" s="432">
        <v>0</v>
      </c>
      <c r="I17" s="432">
        <v>0</v>
      </c>
      <c r="J17" s="433">
        <f t="shared" si="0"/>
        <v>2013</v>
      </c>
      <c r="K17" s="86"/>
      <c r="L17" s="86"/>
      <c r="M17" s="86"/>
      <c r="Z17" s="423">
        <v>7</v>
      </c>
      <c r="AA17" s="373" t="s">
        <v>876</v>
      </c>
      <c r="AB17" s="424">
        <v>0</v>
      </c>
      <c r="AC17" s="424">
        <v>0</v>
      </c>
      <c r="AD17" s="424">
        <v>0</v>
      </c>
      <c r="AE17" s="424">
        <v>0</v>
      </c>
      <c r="AF17" s="424">
        <v>0</v>
      </c>
      <c r="AG17" s="432">
        <v>0</v>
      </c>
      <c r="AH17" s="432">
        <v>0</v>
      </c>
      <c r="AI17" s="433">
        <v>0</v>
      </c>
    </row>
    <row r="18" spans="1:35" ht="16.5">
      <c r="A18" s="423">
        <v>8</v>
      </c>
      <c r="B18" s="373" t="s">
        <v>877</v>
      </c>
      <c r="C18" s="424">
        <v>0</v>
      </c>
      <c r="D18" s="424">
        <v>0</v>
      </c>
      <c r="E18" s="424">
        <f>'AT-3'!F16</f>
        <v>2035</v>
      </c>
      <c r="F18" s="424">
        <v>0</v>
      </c>
      <c r="G18" s="424">
        <v>0</v>
      </c>
      <c r="H18" s="432">
        <v>0</v>
      </c>
      <c r="I18" s="432">
        <v>0</v>
      </c>
      <c r="J18" s="433">
        <f t="shared" si="0"/>
        <v>2035</v>
      </c>
      <c r="K18" s="86"/>
      <c r="L18" s="86"/>
      <c r="M18" s="86"/>
      <c r="Z18" s="423">
        <v>8</v>
      </c>
      <c r="AA18" s="373" t="s">
        <v>877</v>
      </c>
      <c r="AB18" s="424">
        <v>0</v>
      </c>
      <c r="AC18" s="424">
        <v>0</v>
      </c>
      <c r="AD18" s="424">
        <v>2035</v>
      </c>
      <c r="AE18" s="424">
        <v>0</v>
      </c>
      <c r="AF18" s="424">
        <v>0</v>
      </c>
      <c r="AG18" s="432">
        <v>0</v>
      </c>
      <c r="AH18" s="432">
        <v>0</v>
      </c>
      <c r="AI18" s="433">
        <v>2035</v>
      </c>
    </row>
    <row r="19" spans="1:35" ht="16.5">
      <c r="A19" s="423">
        <v>9</v>
      </c>
      <c r="B19" s="373" t="s">
        <v>878</v>
      </c>
      <c r="C19" s="424">
        <v>0</v>
      </c>
      <c r="D19" s="424">
        <v>0</v>
      </c>
      <c r="E19" s="424">
        <f>'AT-3'!F17</f>
        <v>1682</v>
      </c>
      <c r="F19" s="424">
        <v>0</v>
      </c>
      <c r="G19" s="424">
        <v>0</v>
      </c>
      <c r="H19" s="432">
        <v>0</v>
      </c>
      <c r="I19" s="432">
        <v>0</v>
      </c>
      <c r="J19" s="433">
        <f t="shared" si="0"/>
        <v>1682</v>
      </c>
      <c r="K19" s="86"/>
      <c r="L19" s="86"/>
      <c r="M19" s="86"/>
      <c r="Z19" s="423">
        <v>9</v>
      </c>
      <c r="AA19" s="373" t="s">
        <v>878</v>
      </c>
      <c r="AB19" s="424">
        <v>0</v>
      </c>
      <c r="AC19" s="424">
        <v>0</v>
      </c>
      <c r="AD19" s="424">
        <v>1682</v>
      </c>
      <c r="AE19" s="424">
        <v>0</v>
      </c>
      <c r="AF19" s="424">
        <v>0</v>
      </c>
      <c r="AG19" s="432">
        <v>0</v>
      </c>
      <c r="AH19" s="432">
        <v>0</v>
      </c>
      <c r="AI19" s="433">
        <v>1682</v>
      </c>
    </row>
    <row r="20" spans="1:35" ht="16.5">
      <c r="A20" s="423">
        <v>10</v>
      </c>
      <c r="B20" s="373" t="s">
        <v>879</v>
      </c>
      <c r="C20" s="424">
        <v>0</v>
      </c>
      <c r="D20" s="424">
        <v>0</v>
      </c>
      <c r="E20" s="424">
        <f>'AT-3'!F18</f>
        <v>1799</v>
      </c>
      <c r="F20" s="424">
        <v>0</v>
      </c>
      <c r="G20" s="424">
        <v>0</v>
      </c>
      <c r="H20" s="432">
        <v>0</v>
      </c>
      <c r="I20" s="432">
        <v>0</v>
      </c>
      <c r="J20" s="433">
        <f t="shared" si="0"/>
        <v>1799</v>
      </c>
      <c r="K20" s="86"/>
      <c r="L20" s="86"/>
      <c r="M20" s="86"/>
      <c r="Z20" s="423">
        <v>10</v>
      </c>
      <c r="AA20" s="373" t="s">
        <v>879</v>
      </c>
      <c r="AB20" s="424">
        <v>0</v>
      </c>
      <c r="AC20" s="424">
        <v>0</v>
      </c>
      <c r="AD20" s="424">
        <v>1799</v>
      </c>
      <c r="AE20" s="424">
        <v>0</v>
      </c>
      <c r="AF20" s="424">
        <v>0</v>
      </c>
      <c r="AG20" s="432">
        <v>0</v>
      </c>
      <c r="AH20" s="432">
        <v>0</v>
      </c>
      <c r="AI20" s="433">
        <v>1799</v>
      </c>
    </row>
    <row r="21" spans="1:35" ht="16.5">
      <c r="A21" s="423">
        <v>11</v>
      </c>
      <c r="B21" s="373" t="s">
        <v>880</v>
      </c>
      <c r="C21" s="424">
        <v>0</v>
      </c>
      <c r="D21" s="424">
        <v>0</v>
      </c>
      <c r="E21" s="424">
        <f>'AT-3'!F19</f>
        <v>1374</v>
      </c>
      <c r="F21" s="424">
        <v>0</v>
      </c>
      <c r="G21" s="424">
        <v>0</v>
      </c>
      <c r="H21" s="432">
        <v>0</v>
      </c>
      <c r="I21" s="432">
        <v>0</v>
      </c>
      <c r="J21" s="433">
        <f t="shared" si="0"/>
        <v>1374</v>
      </c>
      <c r="K21" s="86"/>
      <c r="L21" s="86"/>
      <c r="M21" s="86"/>
      <c r="Z21" s="423">
        <v>11</v>
      </c>
      <c r="AA21" s="373" t="s">
        <v>880</v>
      </c>
      <c r="AB21" s="424">
        <v>0</v>
      </c>
      <c r="AC21" s="424">
        <v>0</v>
      </c>
      <c r="AD21" s="424">
        <v>1374</v>
      </c>
      <c r="AE21" s="424">
        <v>0</v>
      </c>
      <c r="AF21" s="424">
        <v>0</v>
      </c>
      <c r="AG21" s="432">
        <v>0</v>
      </c>
      <c r="AH21" s="432">
        <v>0</v>
      </c>
      <c r="AI21" s="433">
        <v>1374</v>
      </c>
    </row>
    <row r="22" spans="1:35" ht="16.5">
      <c r="A22" s="423">
        <v>12</v>
      </c>
      <c r="B22" s="373" t="s">
        <v>881</v>
      </c>
      <c r="C22" s="424">
        <v>0</v>
      </c>
      <c r="D22" s="424">
        <v>0</v>
      </c>
      <c r="E22" s="424">
        <f>'AT-3'!F20</f>
        <v>1032</v>
      </c>
      <c r="F22" s="424">
        <v>0</v>
      </c>
      <c r="G22" s="424">
        <v>0</v>
      </c>
      <c r="H22" s="432">
        <v>0</v>
      </c>
      <c r="I22" s="432">
        <v>0</v>
      </c>
      <c r="J22" s="433">
        <f t="shared" si="0"/>
        <v>1032</v>
      </c>
      <c r="K22" s="86"/>
      <c r="L22" s="86"/>
      <c r="M22" s="86"/>
      <c r="Z22" s="423">
        <v>12</v>
      </c>
      <c r="AA22" s="373" t="s">
        <v>881</v>
      </c>
      <c r="AB22" s="424">
        <v>0</v>
      </c>
      <c r="AC22" s="424">
        <v>0</v>
      </c>
      <c r="AD22" s="424">
        <v>1032</v>
      </c>
      <c r="AE22" s="424">
        <v>0</v>
      </c>
      <c r="AF22" s="424">
        <v>0</v>
      </c>
      <c r="AG22" s="432">
        <v>0</v>
      </c>
      <c r="AH22" s="432">
        <v>0</v>
      </c>
      <c r="AI22" s="433">
        <v>0</v>
      </c>
    </row>
    <row r="23" spans="1:35" ht="16.5">
      <c r="A23" s="423">
        <v>13</v>
      </c>
      <c r="B23" s="373" t="s">
        <v>882</v>
      </c>
      <c r="C23" s="424">
        <v>0</v>
      </c>
      <c r="D23" s="424">
        <v>0</v>
      </c>
      <c r="E23" s="424">
        <f>'AT-3'!F21</f>
        <v>2748</v>
      </c>
      <c r="F23" s="424">
        <v>0</v>
      </c>
      <c r="G23" s="424">
        <v>0</v>
      </c>
      <c r="H23" s="432">
        <v>0</v>
      </c>
      <c r="I23" s="432">
        <v>0</v>
      </c>
      <c r="J23" s="433">
        <f t="shared" si="0"/>
        <v>2748</v>
      </c>
      <c r="K23" s="86"/>
      <c r="L23" s="86"/>
      <c r="M23" s="86"/>
      <c r="Z23" s="423">
        <v>13</v>
      </c>
      <c r="AA23" s="373" t="s">
        <v>882</v>
      </c>
      <c r="AB23" s="424"/>
      <c r="AC23" s="424"/>
      <c r="AD23" s="424"/>
      <c r="AE23" s="424"/>
      <c r="AF23" s="424"/>
      <c r="AG23" s="432"/>
      <c r="AH23" s="432"/>
      <c r="AI23" s="433"/>
    </row>
    <row r="24" spans="1:35" ht="16.5">
      <c r="A24" s="423">
        <v>14</v>
      </c>
      <c r="B24" s="373" t="s">
        <v>883</v>
      </c>
      <c r="C24" s="424">
        <v>0</v>
      </c>
      <c r="D24" s="424">
        <v>0</v>
      </c>
      <c r="E24" s="424">
        <f>'AT-3'!F22</f>
        <v>1923</v>
      </c>
      <c r="F24" s="424">
        <v>0</v>
      </c>
      <c r="G24" s="424">
        <v>0</v>
      </c>
      <c r="H24" s="432">
        <v>0</v>
      </c>
      <c r="I24" s="432">
        <v>0</v>
      </c>
      <c r="J24" s="433">
        <f t="shared" si="0"/>
        <v>1923</v>
      </c>
      <c r="K24" s="86"/>
      <c r="L24" s="86"/>
      <c r="M24" s="86"/>
      <c r="Z24" s="423">
        <v>14</v>
      </c>
      <c r="AA24" s="373" t="s">
        <v>883</v>
      </c>
      <c r="AB24" s="424">
        <v>0</v>
      </c>
      <c r="AC24" s="424">
        <v>46</v>
      </c>
      <c r="AD24" s="424">
        <v>1877</v>
      </c>
      <c r="AE24" s="424">
        <v>0</v>
      </c>
      <c r="AF24" s="424">
        <v>0</v>
      </c>
      <c r="AG24" s="432">
        <v>0</v>
      </c>
      <c r="AH24" s="432">
        <v>0</v>
      </c>
      <c r="AI24" s="433">
        <v>1923</v>
      </c>
    </row>
    <row r="25" spans="1:35" ht="16.5">
      <c r="A25" s="423">
        <v>15</v>
      </c>
      <c r="B25" s="373" t="s">
        <v>884</v>
      </c>
      <c r="C25" s="424">
        <v>0</v>
      </c>
      <c r="D25" s="424">
        <v>0</v>
      </c>
      <c r="E25" s="424">
        <f>'AT-3'!F23</f>
        <v>3061</v>
      </c>
      <c r="F25" s="424">
        <v>0</v>
      </c>
      <c r="G25" s="424">
        <v>0</v>
      </c>
      <c r="H25" s="432">
        <v>0</v>
      </c>
      <c r="I25" s="432">
        <v>0</v>
      </c>
      <c r="J25" s="433">
        <f t="shared" si="0"/>
        <v>3061</v>
      </c>
      <c r="K25" s="86"/>
      <c r="L25" s="86"/>
      <c r="M25" s="86"/>
      <c r="Z25" s="423">
        <v>15</v>
      </c>
      <c r="AA25" s="373" t="s">
        <v>884</v>
      </c>
      <c r="AB25" s="424">
        <v>0</v>
      </c>
      <c r="AC25" s="424">
        <v>3061</v>
      </c>
      <c r="AD25" s="424">
        <v>3061</v>
      </c>
      <c r="AE25" s="424">
        <v>0</v>
      </c>
      <c r="AF25" s="424">
        <v>0</v>
      </c>
      <c r="AG25" s="432">
        <v>0</v>
      </c>
      <c r="AH25" s="432">
        <v>0</v>
      </c>
      <c r="AI25" s="433">
        <v>3061</v>
      </c>
    </row>
    <row r="26" spans="1:35" ht="16.5">
      <c r="A26" s="423">
        <v>16</v>
      </c>
      <c r="B26" s="373" t="s">
        <v>885</v>
      </c>
      <c r="C26" s="424">
        <v>0</v>
      </c>
      <c r="D26" s="424">
        <v>0</v>
      </c>
      <c r="E26" s="424">
        <f>'AT-3'!F24</f>
        <v>2137</v>
      </c>
      <c r="F26" s="424">
        <v>0</v>
      </c>
      <c r="G26" s="424">
        <v>0</v>
      </c>
      <c r="H26" s="432">
        <v>0</v>
      </c>
      <c r="I26" s="432">
        <v>0</v>
      </c>
      <c r="J26" s="433">
        <f t="shared" si="0"/>
        <v>2137</v>
      </c>
      <c r="K26" s="86"/>
      <c r="L26" s="86"/>
      <c r="M26" s="86"/>
      <c r="Z26" s="423">
        <v>16</v>
      </c>
      <c r="AA26" s="373" t="s">
        <v>885</v>
      </c>
      <c r="AB26" s="424">
        <v>0</v>
      </c>
      <c r="AC26" s="424">
        <v>0</v>
      </c>
      <c r="AD26" s="424">
        <v>2137</v>
      </c>
      <c r="AE26" s="424">
        <v>0</v>
      </c>
      <c r="AF26" s="424">
        <v>0</v>
      </c>
      <c r="AG26" s="432">
        <v>0</v>
      </c>
      <c r="AH26" s="432">
        <v>0</v>
      </c>
      <c r="AI26" s="433">
        <v>2137</v>
      </c>
    </row>
    <row r="27" spans="1:35" ht="16.5">
      <c r="A27" s="423">
        <v>17</v>
      </c>
      <c r="B27" s="373" t="s">
        <v>886</v>
      </c>
      <c r="C27" s="424">
        <v>0</v>
      </c>
      <c r="D27" s="424">
        <v>0</v>
      </c>
      <c r="E27" s="424">
        <f>'AT-3'!F25</f>
        <v>2389</v>
      </c>
      <c r="F27" s="424">
        <v>0</v>
      </c>
      <c r="G27" s="424">
        <v>0</v>
      </c>
      <c r="H27" s="432">
        <v>0</v>
      </c>
      <c r="I27" s="432">
        <v>0</v>
      </c>
      <c r="J27" s="433">
        <f t="shared" si="0"/>
        <v>2389</v>
      </c>
      <c r="K27" s="86"/>
      <c r="L27" s="86"/>
      <c r="M27" s="86"/>
      <c r="Z27" s="423">
        <v>17</v>
      </c>
      <c r="AA27" s="373" t="s">
        <v>886</v>
      </c>
      <c r="AB27" s="424">
        <v>0</v>
      </c>
      <c r="AC27" s="424">
        <v>264</v>
      </c>
      <c r="AD27" s="424">
        <v>0</v>
      </c>
      <c r="AE27" s="424">
        <v>0</v>
      </c>
      <c r="AF27" s="424">
        <v>1</v>
      </c>
      <c r="AG27" s="432">
        <v>1</v>
      </c>
      <c r="AH27" s="432">
        <v>0</v>
      </c>
      <c r="AI27" s="433">
        <v>2192</v>
      </c>
    </row>
    <row r="28" spans="1:35" ht="16.5">
      <c r="A28" s="423">
        <v>18</v>
      </c>
      <c r="B28" s="373" t="s">
        <v>887</v>
      </c>
      <c r="C28" s="424">
        <v>0</v>
      </c>
      <c r="D28" s="424">
        <v>0</v>
      </c>
      <c r="E28" s="424">
        <f>'AT-3'!F26</f>
        <v>2849</v>
      </c>
      <c r="F28" s="424">
        <v>0</v>
      </c>
      <c r="G28" s="424">
        <v>0</v>
      </c>
      <c r="H28" s="432">
        <v>0</v>
      </c>
      <c r="I28" s="432">
        <v>0</v>
      </c>
      <c r="J28" s="433">
        <f t="shared" si="0"/>
        <v>2849</v>
      </c>
      <c r="K28" s="86"/>
      <c r="L28" s="86"/>
      <c r="M28" s="86"/>
      <c r="Z28" s="423">
        <v>18</v>
      </c>
      <c r="AA28" s="373" t="s">
        <v>887</v>
      </c>
      <c r="AB28" s="424">
        <v>0</v>
      </c>
      <c r="AC28" s="424">
        <v>0</v>
      </c>
      <c r="AD28" s="424">
        <v>2798</v>
      </c>
      <c r="AE28" s="424">
        <v>0</v>
      </c>
      <c r="AF28" s="424">
        <v>51</v>
      </c>
      <c r="AG28" s="432">
        <v>0</v>
      </c>
      <c r="AH28" s="432">
        <v>0</v>
      </c>
      <c r="AI28" s="433">
        <v>2849</v>
      </c>
    </row>
    <row r="29" spans="1:35" ht="16.5">
      <c r="A29" s="423">
        <v>19</v>
      </c>
      <c r="B29" s="373" t="s">
        <v>888</v>
      </c>
      <c r="C29" s="424">
        <v>0</v>
      </c>
      <c r="D29" s="424">
        <v>0</v>
      </c>
      <c r="E29" s="424">
        <f>'AT-3'!F27</f>
        <v>3021</v>
      </c>
      <c r="F29" s="424">
        <v>0</v>
      </c>
      <c r="G29" s="424">
        <v>0</v>
      </c>
      <c r="H29" s="432">
        <v>0</v>
      </c>
      <c r="I29" s="432">
        <v>0</v>
      </c>
      <c r="J29" s="433">
        <f t="shared" si="0"/>
        <v>3021</v>
      </c>
      <c r="K29" s="86"/>
      <c r="L29" s="86"/>
      <c r="M29" s="86"/>
      <c r="Z29" s="423">
        <v>19</v>
      </c>
      <c r="AA29" s="373" t="s">
        <v>888</v>
      </c>
      <c r="AB29" s="424">
        <v>0</v>
      </c>
      <c r="AC29" s="424">
        <v>0</v>
      </c>
      <c r="AD29" s="424">
        <v>3021</v>
      </c>
      <c r="AE29" s="424">
        <v>0</v>
      </c>
      <c r="AF29" s="424">
        <v>0</v>
      </c>
      <c r="AG29" s="432">
        <v>0</v>
      </c>
      <c r="AH29" s="432">
        <v>0</v>
      </c>
      <c r="AI29" s="433">
        <v>3021</v>
      </c>
    </row>
    <row r="30" spans="1:35" ht="16.5">
      <c r="A30" s="423">
        <v>20</v>
      </c>
      <c r="B30" s="373" t="s">
        <v>889</v>
      </c>
      <c r="C30" s="424">
        <v>0</v>
      </c>
      <c r="D30" s="424">
        <v>0</v>
      </c>
      <c r="E30" s="424">
        <f>'AT-3'!F28</f>
        <v>1705</v>
      </c>
      <c r="F30" s="424">
        <v>0</v>
      </c>
      <c r="G30" s="424">
        <v>0</v>
      </c>
      <c r="H30" s="432">
        <v>0</v>
      </c>
      <c r="I30" s="432">
        <v>0</v>
      </c>
      <c r="J30" s="433">
        <f t="shared" si="0"/>
        <v>1705</v>
      </c>
      <c r="K30" s="86"/>
      <c r="L30" s="86"/>
      <c r="M30" s="86"/>
      <c r="Z30" s="423">
        <v>20</v>
      </c>
      <c r="AA30" s="373" t="s">
        <v>889</v>
      </c>
      <c r="AB30" s="424">
        <v>0</v>
      </c>
      <c r="AC30" s="424">
        <v>0</v>
      </c>
      <c r="AD30" s="424">
        <v>1705</v>
      </c>
      <c r="AE30" s="424">
        <v>0</v>
      </c>
      <c r="AF30" s="424">
        <v>0</v>
      </c>
      <c r="AG30" s="432">
        <v>0</v>
      </c>
      <c r="AH30" s="432">
        <v>0</v>
      </c>
      <c r="AI30" s="433">
        <v>1705</v>
      </c>
    </row>
    <row r="31" spans="1:35" ht="16.5">
      <c r="A31" s="423">
        <v>21</v>
      </c>
      <c r="B31" s="373" t="s">
        <v>890</v>
      </c>
      <c r="C31" s="424">
        <v>0</v>
      </c>
      <c r="D31" s="424">
        <v>0</v>
      </c>
      <c r="E31" s="424">
        <f>'AT-3'!F29</f>
        <v>4449</v>
      </c>
      <c r="F31" s="424">
        <v>0</v>
      </c>
      <c r="G31" s="424">
        <v>0</v>
      </c>
      <c r="H31" s="432">
        <v>0</v>
      </c>
      <c r="I31" s="432">
        <v>0</v>
      </c>
      <c r="J31" s="433">
        <f t="shared" si="0"/>
        <v>4449</v>
      </c>
      <c r="K31" s="86"/>
      <c r="L31" s="86"/>
      <c r="M31" s="86"/>
      <c r="Z31" s="423">
        <v>21</v>
      </c>
      <c r="AA31" s="373" t="s">
        <v>890</v>
      </c>
      <c r="AB31" s="424">
        <v>0</v>
      </c>
      <c r="AC31" s="424">
        <v>0</v>
      </c>
      <c r="AD31" s="424">
        <v>4449</v>
      </c>
      <c r="AE31" s="424">
        <v>0</v>
      </c>
      <c r="AF31" s="424">
        <v>0</v>
      </c>
      <c r="AG31" s="432">
        <v>0</v>
      </c>
      <c r="AH31" s="432">
        <v>0</v>
      </c>
      <c r="AI31" s="433">
        <v>4449</v>
      </c>
    </row>
    <row r="32" spans="1:35" ht="16.5">
      <c r="A32" s="423">
        <v>22</v>
      </c>
      <c r="B32" s="373" t="s">
        <v>891</v>
      </c>
      <c r="C32" s="424">
        <v>0</v>
      </c>
      <c r="D32" s="424">
        <v>0</v>
      </c>
      <c r="E32" s="424">
        <f>'AT-3'!F30</f>
        <v>1548</v>
      </c>
      <c r="F32" s="424">
        <v>0</v>
      </c>
      <c r="G32" s="424">
        <v>0</v>
      </c>
      <c r="H32" s="432">
        <v>0</v>
      </c>
      <c r="I32" s="432">
        <v>0</v>
      </c>
      <c r="J32" s="433">
        <f t="shared" si="0"/>
        <v>1548</v>
      </c>
      <c r="K32" s="86"/>
      <c r="L32" s="86"/>
      <c r="M32" s="86"/>
      <c r="Z32" s="423">
        <v>22</v>
      </c>
      <c r="AA32" s="373" t="s">
        <v>891</v>
      </c>
      <c r="AB32" s="424">
        <v>0</v>
      </c>
      <c r="AC32" s="424">
        <v>0</v>
      </c>
      <c r="AD32" s="424">
        <v>1548</v>
      </c>
      <c r="AE32" s="424">
        <v>0</v>
      </c>
      <c r="AF32" s="424">
        <v>0</v>
      </c>
      <c r="AG32" s="432">
        <v>0</v>
      </c>
      <c r="AH32" s="432">
        <v>0</v>
      </c>
      <c r="AI32" s="433">
        <v>1548</v>
      </c>
    </row>
    <row r="33" spans="1:35" ht="16.5">
      <c r="A33" s="423">
        <v>23</v>
      </c>
      <c r="B33" s="373" t="s">
        <v>892</v>
      </c>
      <c r="C33" s="424">
        <v>0</v>
      </c>
      <c r="D33" s="424">
        <v>0</v>
      </c>
      <c r="E33" s="424">
        <f>'AT-3'!F31</f>
        <v>1583</v>
      </c>
      <c r="F33" s="424">
        <v>0</v>
      </c>
      <c r="G33" s="424">
        <v>0</v>
      </c>
      <c r="H33" s="432">
        <v>0</v>
      </c>
      <c r="I33" s="432">
        <v>0</v>
      </c>
      <c r="J33" s="433">
        <f t="shared" si="0"/>
        <v>1583</v>
      </c>
      <c r="K33" s="86"/>
      <c r="L33" s="86"/>
      <c r="M33" s="86"/>
      <c r="Z33" s="423">
        <v>23</v>
      </c>
      <c r="AA33" s="373" t="s">
        <v>892</v>
      </c>
      <c r="AB33" s="424">
        <v>0</v>
      </c>
      <c r="AC33" s="424">
        <v>0</v>
      </c>
      <c r="AD33" s="424">
        <v>1583</v>
      </c>
      <c r="AE33" s="424">
        <v>0</v>
      </c>
      <c r="AF33" s="424">
        <v>0</v>
      </c>
      <c r="AG33" s="432">
        <v>0</v>
      </c>
      <c r="AH33" s="432">
        <v>0</v>
      </c>
      <c r="AI33" s="433">
        <v>1583</v>
      </c>
    </row>
    <row r="34" spans="1:35" ht="16.5">
      <c r="A34" s="423">
        <v>24</v>
      </c>
      <c r="B34" s="373" t="s">
        <v>893</v>
      </c>
      <c r="C34" s="424">
        <v>0</v>
      </c>
      <c r="D34" s="424">
        <v>0</v>
      </c>
      <c r="E34" s="424">
        <f>'AT-3'!F32</f>
        <v>5432</v>
      </c>
      <c r="F34" s="424">
        <v>0</v>
      </c>
      <c r="G34" s="424">
        <v>0</v>
      </c>
      <c r="H34" s="432">
        <v>0</v>
      </c>
      <c r="I34" s="432">
        <v>0</v>
      </c>
      <c r="J34" s="433">
        <f t="shared" si="0"/>
        <v>5432</v>
      </c>
      <c r="K34" s="86"/>
      <c r="L34" s="86"/>
      <c r="M34" s="86"/>
      <c r="Z34" s="423">
        <v>24</v>
      </c>
      <c r="AA34" s="373" t="s">
        <v>893</v>
      </c>
      <c r="AB34" s="424"/>
      <c r="AC34" s="424"/>
      <c r="AD34" s="424"/>
      <c r="AE34" s="424"/>
      <c r="AF34" s="424"/>
      <c r="AG34" s="432"/>
      <c r="AH34" s="432"/>
      <c r="AI34" s="433"/>
    </row>
    <row r="35" spans="1:35" ht="16.5">
      <c r="A35" s="423">
        <v>25</v>
      </c>
      <c r="B35" s="373" t="s">
        <v>894</v>
      </c>
      <c r="C35" s="424">
        <v>0</v>
      </c>
      <c r="D35" s="424">
        <v>0</v>
      </c>
      <c r="E35" s="424">
        <f>'AT-3'!F33</f>
        <v>3208</v>
      </c>
      <c r="F35" s="424">
        <v>0</v>
      </c>
      <c r="G35" s="424">
        <v>0</v>
      </c>
      <c r="H35" s="432">
        <v>0</v>
      </c>
      <c r="I35" s="432">
        <v>0</v>
      </c>
      <c r="J35" s="433">
        <f t="shared" si="0"/>
        <v>3208</v>
      </c>
      <c r="K35" s="86"/>
      <c r="L35" s="86"/>
      <c r="M35" s="86"/>
      <c r="Z35" s="423">
        <v>25</v>
      </c>
      <c r="AA35" s="373" t="s">
        <v>894</v>
      </c>
      <c r="AB35" s="424">
        <v>0</v>
      </c>
      <c r="AC35" s="424">
        <v>0</v>
      </c>
      <c r="AD35" s="424">
        <v>3208</v>
      </c>
      <c r="AE35" s="424">
        <v>0</v>
      </c>
      <c r="AF35" s="424">
        <v>0</v>
      </c>
      <c r="AG35" s="432">
        <v>0</v>
      </c>
      <c r="AH35" s="432">
        <v>0</v>
      </c>
      <c r="AI35" s="433">
        <v>3208</v>
      </c>
    </row>
    <row r="36" spans="1:35" ht="16.5">
      <c r="A36" s="423">
        <v>26</v>
      </c>
      <c r="B36" s="373" t="s">
        <v>895</v>
      </c>
      <c r="C36" s="424">
        <v>0</v>
      </c>
      <c r="D36" s="424">
        <v>0</v>
      </c>
      <c r="E36" s="424">
        <f>'AT-3'!F34</f>
        <v>3076</v>
      </c>
      <c r="F36" s="424">
        <v>0</v>
      </c>
      <c r="G36" s="424">
        <v>0</v>
      </c>
      <c r="H36" s="432">
        <v>0</v>
      </c>
      <c r="I36" s="432">
        <v>0</v>
      </c>
      <c r="J36" s="433">
        <f t="shared" si="0"/>
        <v>3076</v>
      </c>
      <c r="K36" s="86"/>
      <c r="L36" s="86"/>
      <c r="M36" s="86"/>
      <c r="Z36" s="423">
        <v>26</v>
      </c>
      <c r="AA36" s="373" t="s">
        <v>895</v>
      </c>
      <c r="AB36" s="424">
        <v>0</v>
      </c>
      <c r="AC36" s="424">
        <v>0</v>
      </c>
      <c r="AD36" s="424">
        <v>3076</v>
      </c>
      <c r="AE36" s="424"/>
      <c r="AF36" s="424"/>
      <c r="AG36" s="432"/>
      <c r="AH36" s="432"/>
      <c r="AI36" s="433"/>
    </row>
    <row r="37" spans="1:35" ht="16.5">
      <c r="A37" s="423">
        <v>27</v>
      </c>
      <c r="B37" s="373" t="s">
        <v>896</v>
      </c>
      <c r="C37" s="424">
        <v>0</v>
      </c>
      <c r="D37" s="424">
        <v>0</v>
      </c>
      <c r="E37" s="424">
        <f>'AT-3'!F35</f>
        <v>2515</v>
      </c>
      <c r="F37" s="424">
        <v>0</v>
      </c>
      <c r="G37" s="424">
        <v>0</v>
      </c>
      <c r="H37" s="432">
        <v>0</v>
      </c>
      <c r="I37" s="432">
        <v>0</v>
      </c>
      <c r="J37" s="433">
        <f t="shared" si="0"/>
        <v>2515</v>
      </c>
      <c r="K37" s="86"/>
      <c r="L37" s="86"/>
      <c r="M37" s="86"/>
      <c r="Z37" s="423">
        <v>27</v>
      </c>
      <c r="AA37" s="373" t="s">
        <v>896</v>
      </c>
      <c r="AB37" s="424">
        <v>0</v>
      </c>
      <c r="AC37" s="424">
        <v>0</v>
      </c>
      <c r="AD37" s="424">
        <v>2515</v>
      </c>
      <c r="AE37" s="424">
        <v>0</v>
      </c>
      <c r="AF37" s="424">
        <v>0</v>
      </c>
      <c r="AG37" s="432">
        <v>0</v>
      </c>
      <c r="AH37" s="432">
        <v>0</v>
      </c>
      <c r="AI37" s="433">
        <v>0</v>
      </c>
    </row>
    <row r="38" spans="1:35" ht="16.5">
      <c r="A38" s="423">
        <v>28</v>
      </c>
      <c r="B38" s="373" t="s">
        <v>897</v>
      </c>
      <c r="C38" s="424">
        <v>0</v>
      </c>
      <c r="D38" s="424">
        <v>0</v>
      </c>
      <c r="E38" s="424">
        <f>'AT-3'!F36</f>
        <v>3436</v>
      </c>
      <c r="F38" s="424">
        <v>0</v>
      </c>
      <c r="G38" s="424">
        <v>0</v>
      </c>
      <c r="H38" s="432">
        <v>0</v>
      </c>
      <c r="I38" s="432">
        <v>0</v>
      </c>
      <c r="J38" s="433">
        <f t="shared" si="0"/>
        <v>3436</v>
      </c>
      <c r="K38" s="86"/>
      <c r="L38" s="86"/>
      <c r="M38" s="86"/>
      <c r="Z38" s="423">
        <v>28</v>
      </c>
      <c r="AA38" s="373" t="s">
        <v>897</v>
      </c>
      <c r="AB38" s="424">
        <v>0</v>
      </c>
      <c r="AC38" s="424">
        <v>57</v>
      </c>
      <c r="AD38" s="424">
        <v>3379</v>
      </c>
      <c r="AE38" s="424">
        <v>0</v>
      </c>
      <c r="AF38" s="424">
        <v>0</v>
      </c>
      <c r="AG38" s="432">
        <v>0</v>
      </c>
      <c r="AH38" s="432">
        <v>0</v>
      </c>
      <c r="AI38" s="433">
        <v>3436</v>
      </c>
    </row>
    <row r="39" spans="1:35" ht="16.5">
      <c r="A39" s="423">
        <v>29</v>
      </c>
      <c r="B39" s="373" t="s">
        <v>898</v>
      </c>
      <c r="C39" s="424">
        <v>0</v>
      </c>
      <c r="D39" s="424">
        <v>0</v>
      </c>
      <c r="E39" s="424">
        <f>'AT-3'!F37</f>
        <v>1670</v>
      </c>
      <c r="F39" s="424">
        <v>0</v>
      </c>
      <c r="G39" s="424">
        <v>0</v>
      </c>
      <c r="H39" s="432">
        <v>0</v>
      </c>
      <c r="I39" s="432">
        <v>0</v>
      </c>
      <c r="J39" s="433">
        <f t="shared" si="0"/>
        <v>1670</v>
      </c>
      <c r="K39" s="86"/>
      <c r="L39" s="86"/>
      <c r="M39" s="86"/>
      <c r="Z39" s="423">
        <v>29</v>
      </c>
      <c r="AA39" s="373" t="s">
        <v>898</v>
      </c>
      <c r="AB39" s="424">
        <v>458</v>
      </c>
      <c r="AC39" s="424">
        <v>0</v>
      </c>
      <c r="AD39" s="424">
        <v>1212</v>
      </c>
      <c r="AE39" s="424">
        <v>0</v>
      </c>
      <c r="AF39" s="424">
        <v>0</v>
      </c>
      <c r="AG39" s="432">
        <v>0</v>
      </c>
      <c r="AH39" s="432">
        <v>0</v>
      </c>
      <c r="AI39" s="433">
        <v>1670</v>
      </c>
    </row>
    <row r="40" spans="1:35" ht="16.5">
      <c r="A40" s="423">
        <v>30</v>
      </c>
      <c r="B40" s="373" t="s">
        <v>899</v>
      </c>
      <c r="C40" s="424">
        <v>0</v>
      </c>
      <c r="D40" s="424">
        <v>0</v>
      </c>
      <c r="E40" s="424">
        <f>'AT-3'!F38</f>
        <v>4073</v>
      </c>
      <c r="F40" s="424">
        <v>0</v>
      </c>
      <c r="G40" s="424">
        <v>0</v>
      </c>
      <c r="H40" s="432">
        <v>0</v>
      </c>
      <c r="I40" s="432">
        <v>0</v>
      </c>
      <c r="J40" s="433">
        <f t="shared" si="0"/>
        <v>4073</v>
      </c>
      <c r="K40" s="86"/>
      <c r="L40" s="86"/>
      <c r="M40" s="86"/>
      <c r="Z40" s="423">
        <v>30</v>
      </c>
      <c r="AA40" s="373" t="s">
        <v>899</v>
      </c>
      <c r="AB40" s="424"/>
      <c r="AC40" s="424"/>
      <c r="AD40" s="424"/>
      <c r="AE40" s="424"/>
      <c r="AF40" s="424"/>
      <c r="AG40" s="432"/>
      <c r="AH40" s="432"/>
      <c r="AI40" s="433"/>
    </row>
    <row r="41" spans="1:35" ht="16.5">
      <c r="A41" s="423">
        <v>31</v>
      </c>
      <c r="B41" s="373" t="s">
        <v>900</v>
      </c>
      <c r="C41" s="424">
        <v>0</v>
      </c>
      <c r="D41" s="424">
        <v>0</v>
      </c>
      <c r="E41" s="424">
        <f>'AT-3'!F39</f>
        <v>2785</v>
      </c>
      <c r="F41" s="424">
        <v>0</v>
      </c>
      <c r="G41" s="424">
        <v>0</v>
      </c>
      <c r="H41" s="432">
        <v>0</v>
      </c>
      <c r="I41" s="432">
        <v>0</v>
      </c>
      <c r="J41" s="433">
        <f t="shared" si="0"/>
        <v>2785</v>
      </c>
      <c r="K41" s="86"/>
      <c r="L41" s="86"/>
      <c r="M41" s="86"/>
      <c r="Z41" s="423">
        <v>31</v>
      </c>
      <c r="AA41" s="373" t="s">
        <v>900</v>
      </c>
      <c r="AB41" s="424">
        <v>0</v>
      </c>
      <c r="AC41" s="424">
        <v>982</v>
      </c>
      <c r="AD41" s="424">
        <v>2785</v>
      </c>
      <c r="AE41" s="424">
        <v>0</v>
      </c>
      <c r="AF41" s="424">
        <v>2</v>
      </c>
      <c r="AG41" s="432">
        <v>0</v>
      </c>
      <c r="AH41" s="432">
        <v>0</v>
      </c>
      <c r="AI41" s="433">
        <v>2785</v>
      </c>
    </row>
    <row r="42" spans="1:35" ht="16.5">
      <c r="A42" s="423">
        <v>32</v>
      </c>
      <c r="B42" s="373" t="s">
        <v>901</v>
      </c>
      <c r="C42" s="424">
        <v>0</v>
      </c>
      <c r="D42" s="424">
        <v>0</v>
      </c>
      <c r="E42" s="424">
        <f>'AT-3'!F40</f>
        <v>2393</v>
      </c>
      <c r="F42" s="424">
        <v>0</v>
      </c>
      <c r="G42" s="424">
        <v>0</v>
      </c>
      <c r="H42" s="432">
        <v>0</v>
      </c>
      <c r="I42" s="432">
        <v>0</v>
      </c>
      <c r="J42" s="433">
        <f t="shared" si="0"/>
        <v>2393</v>
      </c>
      <c r="K42" s="86"/>
      <c r="L42" s="86"/>
      <c r="M42" s="86"/>
      <c r="Z42" s="423">
        <v>32</v>
      </c>
      <c r="AA42" s="373" t="s">
        <v>901</v>
      </c>
      <c r="AB42" s="424">
        <v>0</v>
      </c>
      <c r="AC42" s="424">
        <v>0</v>
      </c>
      <c r="AD42" s="424">
        <v>714</v>
      </c>
      <c r="AE42" s="424">
        <v>0</v>
      </c>
      <c r="AF42" s="424">
        <v>0</v>
      </c>
      <c r="AG42" s="432">
        <v>0</v>
      </c>
      <c r="AH42" s="432">
        <v>0</v>
      </c>
      <c r="AI42" s="433">
        <v>0</v>
      </c>
    </row>
    <row r="43" spans="1:35" ht="16.5">
      <c r="A43" s="423">
        <v>33</v>
      </c>
      <c r="B43" s="373" t="s">
        <v>902</v>
      </c>
      <c r="C43" s="424">
        <v>0</v>
      </c>
      <c r="D43" s="424">
        <v>0</v>
      </c>
      <c r="E43" s="424">
        <f>'AT-3'!F41</f>
        <v>1246</v>
      </c>
      <c r="F43" s="424">
        <v>0</v>
      </c>
      <c r="G43" s="424">
        <v>0</v>
      </c>
      <c r="H43" s="432">
        <v>0</v>
      </c>
      <c r="I43" s="432">
        <v>0</v>
      </c>
      <c r="J43" s="433">
        <f t="shared" si="0"/>
        <v>1246</v>
      </c>
      <c r="K43" s="86"/>
      <c r="L43" s="86"/>
      <c r="M43" s="86"/>
      <c r="Z43" s="423">
        <v>33</v>
      </c>
      <c r="AA43" s="373" t="s">
        <v>902</v>
      </c>
      <c r="AB43" s="424">
        <v>0</v>
      </c>
      <c r="AC43" s="424">
        <v>0</v>
      </c>
      <c r="AD43" s="424">
        <v>1246</v>
      </c>
      <c r="AE43" s="424">
        <v>0</v>
      </c>
      <c r="AF43" s="424">
        <v>0</v>
      </c>
      <c r="AG43" s="432">
        <v>0</v>
      </c>
      <c r="AH43" s="432">
        <v>0</v>
      </c>
      <c r="AI43" s="433">
        <v>1246</v>
      </c>
    </row>
    <row r="44" spans="1:35" ht="16.5">
      <c r="A44" s="423">
        <v>34</v>
      </c>
      <c r="B44" s="373" t="s">
        <v>903</v>
      </c>
      <c r="C44" s="424">
        <v>0</v>
      </c>
      <c r="D44" s="424">
        <v>0</v>
      </c>
      <c r="E44" s="424">
        <f>'AT-3'!F42</f>
        <v>1110</v>
      </c>
      <c r="F44" s="424">
        <v>0</v>
      </c>
      <c r="G44" s="424">
        <v>0</v>
      </c>
      <c r="H44" s="432">
        <v>0</v>
      </c>
      <c r="I44" s="432">
        <v>0</v>
      </c>
      <c r="J44" s="433">
        <f t="shared" si="0"/>
        <v>1110</v>
      </c>
      <c r="K44" s="86"/>
      <c r="L44" s="86"/>
      <c r="M44" s="86"/>
      <c r="Z44" s="423">
        <v>34</v>
      </c>
      <c r="AA44" s="373" t="s">
        <v>903</v>
      </c>
      <c r="AB44" s="424">
        <v>0</v>
      </c>
      <c r="AC44" s="424">
        <v>168</v>
      </c>
      <c r="AD44" s="424">
        <v>942</v>
      </c>
      <c r="AE44" s="424">
        <v>0</v>
      </c>
      <c r="AF44" s="424">
        <v>0</v>
      </c>
      <c r="AG44" s="432">
        <v>0</v>
      </c>
      <c r="AH44" s="432">
        <v>0</v>
      </c>
      <c r="AI44" s="433">
        <v>1110</v>
      </c>
    </row>
    <row r="45" spans="1:35" ht="16.5">
      <c r="A45" s="423">
        <v>35</v>
      </c>
      <c r="B45" s="373" t="s">
        <v>904</v>
      </c>
      <c r="C45" s="424">
        <v>0</v>
      </c>
      <c r="D45" s="424">
        <v>0</v>
      </c>
      <c r="E45" s="424">
        <f>'AT-3'!F43</f>
        <v>2782</v>
      </c>
      <c r="F45" s="424">
        <v>0</v>
      </c>
      <c r="G45" s="424">
        <v>0</v>
      </c>
      <c r="H45" s="432">
        <v>0</v>
      </c>
      <c r="I45" s="432">
        <v>0</v>
      </c>
      <c r="J45" s="433">
        <f t="shared" si="0"/>
        <v>2782</v>
      </c>
      <c r="K45" s="86"/>
      <c r="L45" s="86"/>
      <c r="M45" s="86"/>
      <c r="Z45" s="423">
        <v>35</v>
      </c>
      <c r="AA45" s="373" t="s">
        <v>904</v>
      </c>
      <c r="AB45" s="424">
        <v>0</v>
      </c>
      <c r="AC45" s="424">
        <v>0</v>
      </c>
      <c r="AD45" s="424">
        <v>2782</v>
      </c>
      <c r="AE45" s="424">
        <v>0</v>
      </c>
      <c r="AF45" s="424">
        <v>0</v>
      </c>
      <c r="AG45" s="432">
        <v>0</v>
      </c>
      <c r="AH45" s="432">
        <v>0</v>
      </c>
      <c r="AI45" s="433">
        <v>2782</v>
      </c>
    </row>
    <row r="46" spans="1:35" ht="16.5">
      <c r="A46" s="425" t="s">
        <v>19</v>
      </c>
      <c r="B46" s="424"/>
      <c r="C46" s="424">
        <f>SUM(C11:C45)</f>
        <v>0</v>
      </c>
      <c r="D46" s="424">
        <f aca="true" t="shared" si="1" ref="D46:J46">SUM(D11:D45)</f>
        <v>0</v>
      </c>
      <c r="E46" s="424">
        <f t="shared" si="1"/>
        <v>86780</v>
      </c>
      <c r="F46" s="424">
        <f t="shared" si="1"/>
        <v>0</v>
      </c>
      <c r="G46" s="424">
        <f t="shared" si="1"/>
        <v>0</v>
      </c>
      <c r="H46" s="424">
        <f t="shared" si="1"/>
        <v>0</v>
      </c>
      <c r="I46" s="424">
        <f t="shared" si="1"/>
        <v>0</v>
      </c>
      <c r="J46" s="424">
        <f t="shared" si="1"/>
        <v>86780</v>
      </c>
      <c r="L46" s="86"/>
      <c r="M46" s="86"/>
      <c r="Z46" s="425" t="s">
        <v>19</v>
      </c>
      <c r="AA46" s="424"/>
      <c r="AB46" s="424"/>
      <c r="AC46" s="424"/>
      <c r="AD46" s="424"/>
      <c r="AE46" s="424"/>
      <c r="AF46" s="424"/>
      <c r="AG46" s="432"/>
      <c r="AH46" s="432"/>
      <c r="AI46" s="433"/>
    </row>
    <row r="47" spans="1:35" ht="16.5">
      <c r="A47" s="426"/>
      <c r="B47" s="415"/>
      <c r="C47" s="415"/>
      <c r="D47" s="415"/>
      <c r="E47" s="415"/>
      <c r="F47" s="415"/>
      <c r="G47" s="415"/>
      <c r="H47" s="415"/>
      <c r="I47" s="415"/>
      <c r="J47" s="415"/>
      <c r="K47" s="86"/>
      <c r="L47" s="86"/>
      <c r="M47" s="86"/>
      <c r="Z47" s="426"/>
      <c r="AA47" s="415"/>
      <c r="AB47" s="415"/>
      <c r="AC47" s="415"/>
      <c r="AD47" s="415"/>
      <c r="AE47" s="415"/>
      <c r="AF47" s="415"/>
      <c r="AG47" s="415"/>
      <c r="AH47" s="415"/>
      <c r="AI47" s="415"/>
    </row>
    <row r="48" spans="1:35" ht="16.5">
      <c r="A48" s="415"/>
      <c r="B48" s="415"/>
      <c r="C48" s="415"/>
      <c r="D48" s="415"/>
      <c r="E48" s="415"/>
      <c r="F48" s="415"/>
      <c r="G48" s="415"/>
      <c r="H48" s="415"/>
      <c r="I48" s="415"/>
      <c r="J48" s="415"/>
      <c r="K48" s="86"/>
      <c r="L48" s="86"/>
      <c r="M48" s="86"/>
      <c r="Z48" s="415"/>
      <c r="AA48" s="415"/>
      <c r="AB48" s="415"/>
      <c r="AC48" s="415"/>
      <c r="AD48" s="415"/>
      <c r="AE48" s="415"/>
      <c r="AF48" s="415"/>
      <c r="AG48" s="415"/>
      <c r="AH48" s="415"/>
      <c r="AI48" s="415"/>
    </row>
    <row r="49" spans="1:35" ht="16.5">
      <c r="A49" s="415" t="s">
        <v>123</v>
      </c>
      <c r="B49" s="415"/>
      <c r="C49" s="415"/>
      <c r="D49" s="415"/>
      <c r="E49" s="415"/>
      <c r="F49" s="415"/>
      <c r="G49" s="415"/>
      <c r="H49" s="415"/>
      <c r="I49" s="415"/>
      <c r="J49" s="415"/>
      <c r="K49" s="86"/>
      <c r="L49" s="86"/>
      <c r="M49" s="86"/>
      <c r="Z49" s="415" t="s">
        <v>123</v>
      </c>
      <c r="AA49" s="415"/>
      <c r="AB49" s="415"/>
      <c r="AC49" s="415"/>
      <c r="AD49" s="415"/>
      <c r="AE49" s="415"/>
      <c r="AF49" s="415"/>
      <c r="AG49" s="415"/>
      <c r="AH49" s="415"/>
      <c r="AI49" s="415"/>
    </row>
    <row r="50" spans="1:35" ht="16.5">
      <c r="A50" s="415" t="s">
        <v>201</v>
      </c>
      <c r="B50" s="415"/>
      <c r="C50" s="415"/>
      <c r="D50" s="415"/>
      <c r="E50" s="415"/>
      <c r="F50" s="415"/>
      <c r="G50" s="415"/>
      <c r="H50" s="415"/>
      <c r="I50" s="415"/>
      <c r="J50" s="415"/>
      <c r="K50" s="86"/>
      <c r="L50" s="86"/>
      <c r="M50" s="86"/>
      <c r="Z50" s="415" t="s">
        <v>201</v>
      </c>
      <c r="AA50" s="415"/>
      <c r="AB50" s="415"/>
      <c r="AC50" s="415"/>
      <c r="AD50" s="415"/>
      <c r="AE50" s="415"/>
      <c r="AF50" s="415"/>
      <c r="AG50" s="415"/>
      <c r="AH50" s="415"/>
      <c r="AI50" s="415"/>
    </row>
    <row r="51" spans="1:35" ht="16.5">
      <c r="A51" s="350" t="s">
        <v>124</v>
      </c>
      <c r="B51" s="350"/>
      <c r="C51" s="350"/>
      <c r="D51" s="350"/>
      <c r="E51" s="350"/>
      <c r="F51" s="350"/>
      <c r="G51" s="350"/>
      <c r="H51" s="350"/>
      <c r="I51" s="350"/>
      <c r="J51" s="350"/>
      <c r="Z51" s="350" t="s">
        <v>124</v>
      </c>
      <c r="AA51" s="350"/>
      <c r="AB51" s="350"/>
      <c r="AC51" s="350"/>
      <c r="AD51" s="350"/>
      <c r="AE51" s="350"/>
      <c r="AF51" s="350"/>
      <c r="AG51" s="350"/>
      <c r="AH51" s="350"/>
      <c r="AI51" s="350"/>
    </row>
    <row r="52" spans="1:35" ht="16.5">
      <c r="A52" s="964" t="s">
        <v>125</v>
      </c>
      <c r="B52" s="964"/>
      <c r="C52" s="964"/>
      <c r="D52" s="964"/>
      <c r="E52" s="964"/>
      <c r="F52" s="964"/>
      <c r="G52" s="964"/>
      <c r="H52" s="964"/>
      <c r="I52" s="964"/>
      <c r="J52" s="964"/>
      <c r="K52" s="966"/>
      <c r="L52" s="966"/>
      <c r="M52" s="966"/>
      <c r="Z52" s="964" t="s">
        <v>125</v>
      </c>
      <c r="AA52" s="964"/>
      <c r="AB52" s="964"/>
      <c r="AC52" s="964"/>
      <c r="AD52" s="964"/>
      <c r="AE52" s="964"/>
      <c r="AF52" s="964"/>
      <c r="AG52" s="964"/>
      <c r="AH52" s="964"/>
      <c r="AI52" s="964"/>
    </row>
    <row r="53" spans="1:35" ht="16.5">
      <c r="A53" s="965" t="s">
        <v>126</v>
      </c>
      <c r="B53" s="965"/>
      <c r="C53" s="965"/>
      <c r="D53" s="965"/>
      <c r="E53" s="415"/>
      <c r="F53" s="415"/>
      <c r="G53" s="415"/>
      <c r="H53" s="415"/>
      <c r="I53" s="415"/>
      <c r="J53" s="415"/>
      <c r="K53" s="86"/>
      <c r="L53" s="86"/>
      <c r="M53" s="86"/>
      <c r="Z53" s="965" t="s">
        <v>126</v>
      </c>
      <c r="AA53" s="965"/>
      <c r="AB53" s="965"/>
      <c r="AC53" s="965"/>
      <c r="AD53" s="415"/>
      <c r="AE53" s="415"/>
      <c r="AF53" s="415"/>
      <c r="AG53" s="415"/>
      <c r="AH53" s="415"/>
      <c r="AI53" s="415"/>
    </row>
    <row r="54" spans="1:35" ht="16.5">
      <c r="A54" s="434" t="s">
        <v>169</v>
      </c>
      <c r="B54" s="434"/>
      <c r="C54" s="434"/>
      <c r="D54" s="434"/>
      <c r="E54" s="415"/>
      <c r="F54" s="415"/>
      <c r="G54" s="415"/>
      <c r="H54" s="415"/>
      <c r="I54" s="415"/>
      <c r="J54" s="415"/>
      <c r="K54" s="86"/>
      <c r="L54" s="86"/>
      <c r="M54" s="86"/>
      <c r="Z54" s="434" t="s">
        <v>169</v>
      </c>
      <c r="AA54" s="434"/>
      <c r="AB54" s="434"/>
      <c r="AC54" s="434"/>
      <c r="AD54" s="415"/>
      <c r="AE54" s="415"/>
      <c r="AF54" s="415"/>
      <c r="AG54" s="415"/>
      <c r="AH54" s="415"/>
      <c r="AI54" s="415"/>
    </row>
    <row r="55" spans="1:35" ht="16.5">
      <c r="A55" s="434"/>
      <c r="B55" s="434"/>
      <c r="C55" s="434"/>
      <c r="D55" s="434"/>
      <c r="E55" s="415"/>
      <c r="F55" s="415"/>
      <c r="G55" s="415"/>
      <c r="H55" s="415"/>
      <c r="I55" s="415"/>
      <c r="J55" s="415"/>
      <c r="K55" s="86"/>
      <c r="L55" s="86"/>
      <c r="M55" s="86"/>
      <c r="Z55" s="434"/>
      <c r="AA55" s="434"/>
      <c r="AB55" s="434"/>
      <c r="AC55" s="434"/>
      <c r="AD55" s="415"/>
      <c r="AE55" s="415"/>
      <c r="AF55" s="415"/>
      <c r="AG55" s="415"/>
      <c r="AH55" s="415"/>
      <c r="AI55" s="415"/>
    </row>
    <row r="56" spans="1:35" ht="17.25" customHeight="1">
      <c r="A56" s="418" t="s">
        <v>12</v>
      </c>
      <c r="B56" s="418"/>
      <c r="C56" s="748" t="s">
        <v>1021</v>
      </c>
      <c r="D56" s="748"/>
      <c r="E56" s="748"/>
      <c r="F56" s="83"/>
      <c r="G56" s="748" t="s">
        <v>1024</v>
      </c>
      <c r="H56" s="748"/>
      <c r="I56" s="748"/>
      <c r="J56" s="748"/>
      <c r="K56" s="133"/>
      <c r="L56" s="86"/>
      <c r="M56" s="86"/>
      <c r="Z56" s="418" t="s">
        <v>12</v>
      </c>
      <c r="AA56" s="418"/>
      <c r="AB56" s="418"/>
      <c r="AC56" s="418"/>
      <c r="AD56" s="418"/>
      <c r="AE56" s="418"/>
      <c r="AF56" s="418"/>
      <c r="AG56" s="418"/>
      <c r="AH56" s="418"/>
      <c r="AI56" s="435" t="s">
        <v>13</v>
      </c>
    </row>
    <row r="57" spans="1:35" ht="16.5" customHeight="1">
      <c r="A57" s="435"/>
      <c r="B57" s="435"/>
      <c r="C57" s="748" t="s">
        <v>1022</v>
      </c>
      <c r="D57" s="748"/>
      <c r="E57" s="748"/>
      <c r="F57" s="83"/>
      <c r="G57" s="748" t="s">
        <v>1025</v>
      </c>
      <c r="H57" s="748"/>
      <c r="I57" s="748"/>
      <c r="J57" s="748"/>
      <c r="K57" s="86"/>
      <c r="L57" s="86"/>
      <c r="M57" s="86"/>
      <c r="Z57" s="973" t="s">
        <v>14</v>
      </c>
      <c r="AA57" s="973"/>
      <c r="AB57" s="973"/>
      <c r="AC57" s="973"/>
      <c r="AD57" s="973"/>
      <c r="AE57" s="973"/>
      <c r="AF57" s="973"/>
      <c r="AG57" s="973"/>
      <c r="AH57" s="973"/>
      <c r="AI57" s="973"/>
    </row>
    <row r="58" spans="1:35" ht="15.75" customHeight="1">
      <c r="A58" s="435"/>
      <c r="B58" s="435"/>
      <c r="C58" s="735" t="s">
        <v>1023</v>
      </c>
      <c r="D58" s="735"/>
      <c r="E58" s="735"/>
      <c r="F58" s="36"/>
      <c r="G58" s="735" t="s">
        <v>1023</v>
      </c>
      <c r="H58" s="735"/>
      <c r="I58" s="735"/>
      <c r="J58" s="735"/>
      <c r="K58" s="133"/>
      <c r="L58" s="86"/>
      <c r="M58" s="86"/>
      <c r="Z58" s="973" t="s">
        <v>15</v>
      </c>
      <c r="AA58" s="973"/>
      <c r="AB58" s="973"/>
      <c r="AC58" s="973"/>
      <c r="AD58" s="973"/>
      <c r="AE58" s="973"/>
      <c r="AF58" s="973"/>
      <c r="AG58" s="973"/>
      <c r="AH58" s="973"/>
      <c r="AI58" s="973"/>
    </row>
    <row r="59" spans="1:35" ht="16.5">
      <c r="A59" s="415"/>
      <c r="B59" s="415"/>
      <c r="I59" s="368"/>
      <c r="J59" s="368"/>
      <c r="K59" s="36"/>
      <c r="L59" s="36"/>
      <c r="M59" s="86"/>
      <c r="Z59" s="415"/>
      <c r="AA59" s="415"/>
      <c r="AB59" s="415"/>
      <c r="AC59" s="415"/>
      <c r="AD59" s="415"/>
      <c r="AE59" s="415"/>
      <c r="AF59" s="816" t="s">
        <v>84</v>
      </c>
      <c r="AG59" s="816"/>
      <c r="AH59" s="816"/>
      <c r="AI59" s="816"/>
    </row>
    <row r="60" spans="1:35" ht="12.75">
      <c r="A60" s="957"/>
      <c r="B60" s="957"/>
      <c r="C60" s="957"/>
      <c r="D60" s="957"/>
      <c r="E60" s="957"/>
      <c r="F60" s="957"/>
      <c r="G60" s="957"/>
      <c r="H60" s="957"/>
      <c r="I60" s="957"/>
      <c r="J60" s="957"/>
      <c r="K60" s="86"/>
      <c r="L60" s="86"/>
      <c r="M60" s="86"/>
      <c r="Z60" s="957"/>
      <c r="AA60" s="957"/>
      <c r="AB60" s="957"/>
      <c r="AC60" s="957"/>
      <c r="AD60" s="957"/>
      <c r="AE60" s="957"/>
      <c r="AF60" s="957"/>
      <c r="AG60" s="957"/>
      <c r="AH60" s="957"/>
      <c r="AI60" s="957"/>
    </row>
  </sheetData>
  <sheetProtection/>
  <mergeCells count="35">
    <mergeCell ref="Z58:AI58"/>
    <mergeCell ref="AF59:AI59"/>
    <mergeCell ref="Z60:AI60"/>
    <mergeCell ref="Z8:Z9"/>
    <mergeCell ref="AA8:AA9"/>
    <mergeCell ref="AB8:AI8"/>
    <mergeCell ref="Z52:AC52"/>
    <mergeCell ref="AD52:AI52"/>
    <mergeCell ref="Z53:AC53"/>
    <mergeCell ref="AF1:AI1"/>
    <mergeCell ref="Z2:AI2"/>
    <mergeCell ref="AB3:AH3"/>
    <mergeCell ref="Z4:AI4"/>
    <mergeCell ref="Z5:AA5"/>
    <mergeCell ref="Z57:AI57"/>
    <mergeCell ref="K52:M52"/>
    <mergeCell ref="A8:A9"/>
    <mergeCell ref="B8:B9"/>
    <mergeCell ref="C8:J8"/>
    <mergeCell ref="C3:I3"/>
    <mergeCell ref="AC1:AD1"/>
    <mergeCell ref="D1:E1"/>
    <mergeCell ref="G1:J1"/>
    <mergeCell ref="A2:J2"/>
    <mergeCell ref="A4:J4"/>
    <mergeCell ref="C56:E56"/>
    <mergeCell ref="C57:E57"/>
    <mergeCell ref="C58:E58"/>
    <mergeCell ref="G56:J56"/>
    <mergeCell ref="G57:J57"/>
    <mergeCell ref="G58:J58"/>
    <mergeCell ref="A60:J60"/>
    <mergeCell ref="A52:D52"/>
    <mergeCell ref="E52:J52"/>
    <mergeCell ref="A53:D53"/>
  </mergeCells>
  <printOptions horizontalCentered="1"/>
  <pageMargins left="0.7086614173228347" right="0.7086614173228347" top="0.2362204724409449" bottom="0" header="0.22" footer="0.31496062992125984"/>
  <pageSetup fitToHeight="1" fitToWidth="1" horizontalDpi="600" verticalDpi="600" orientation="landscape" paperSize="9" scale="57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view="pageBreakPreview" zoomScale="76" zoomScaleNormal="80" zoomScaleSheetLayoutView="76" zoomScalePageLayoutView="0" workbookViewId="0" topLeftCell="A34">
      <selection activeCell="D55" sqref="D55:F55"/>
    </sheetView>
  </sheetViews>
  <sheetFormatPr defaultColWidth="9.140625" defaultRowHeight="12.75"/>
  <cols>
    <col min="1" max="1" width="6.140625" style="0" customWidth="1"/>
    <col min="2" max="11" width="17.00390625" style="0" customWidth="1"/>
    <col min="12" max="12" width="18.8515625" style="0" customWidth="1"/>
    <col min="13" max="13" width="18.7109375" style="0" customWidth="1"/>
  </cols>
  <sheetData>
    <row r="1" spans="1:13" ht="16.5">
      <c r="A1" s="415"/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814" t="s">
        <v>564</v>
      </c>
      <c r="M1" s="814"/>
    </row>
    <row r="2" spans="1:13" ht="16.5">
      <c r="A2" s="870" t="s">
        <v>0</v>
      </c>
      <c r="B2" s="870"/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</row>
    <row r="3" spans="1:13" ht="16.5">
      <c r="A3" s="870" t="s">
        <v>656</v>
      </c>
      <c r="B3" s="870"/>
      <c r="C3" s="870"/>
      <c r="D3" s="870"/>
      <c r="E3" s="870"/>
      <c r="F3" s="870"/>
      <c r="G3" s="870"/>
      <c r="H3" s="870"/>
      <c r="I3" s="870"/>
      <c r="J3" s="870"/>
      <c r="K3" s="870"/>
      <c r="L3" s="870"/>
      <c r="M3" s="870"/>
    </row>
    <row r="4" spans="1:13" ht="16.5">
      <c r="A4" s="415"/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</row>
    <row r="5" spans="1:13" ht="16.5">
      <c r="A5" s="954" t="s">
        <v>563</v>
      </c>
      <c r="B5" s="954"/>
      <c r="C5" s="954"/>
      <c r="D5" s="954"/>
      <c r="E5" s="954"/>
      <c r="F5" s="954"/>
      <c r="G5" s="954"/>
      <c r="H5" s="954"/>
      <c r="I5" s="954"/>
      <c r="J5" s="954"/>
      <c r="K5" s="954"/>
      <c r="L5" s="954"/>
      <c r="M5" s="954"/>
    </row>
    <row r="6" spans="1:13" ht="16.5">
      <c r="A6" s="415"/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</row>
    <row r="7" spans="1:13" ht="16.5">
      <c r="A7" s="208" t="s">
        <v>1020</v>
      </c>
      <c r="B7" s="208"/>
      <c r="C7" s="209"/>
      <c r="D7" s="401"/>
      <c r="E7" s="401"/>
      <c r="F7" s="415"/>
      <c r="G7" s="415"/>
      <c r="H7" s="415"/>
      <c r="I7" s="415"/>
      <c r="J7" s="415"/>
      <c r="K7" s="415"/>
      <c r="L7" s="415"/>
      <c r="M7" s="415"/>
    </row>
    <row r="8" spans="1:13" ht="16.5">
      <c r="A8" s="418"/>
      <c r="B8" s="418"/>
      <c r="C8" s="418"/>
      <c r="D8" s="418"/>
      <c r="E8" s="418"/>
      <c r="F8" s="415"/>
      <c r="G8" s="415"/>
      <c r="H8" s="415"/>
      <c r="I8" s="415"/>
      <c r="J8" s="415"/>
      <c r="K8" s="415"/>
      <c r="L8" s="415"/>
      <c r="M8" s="415"/>
    </row>
    <row r="9" spans="1:23" ht="19.5" customHeight="1">
      <c r="A9" s="952" t="s">
        <v>2</v>
      </c>
      <c r="B9" s="952" t="s">
        <v>3</v>
      </c>
      <c r="C9" s="977" t="s">
        <v>121</v>
      </c>
      <c r="D9" s="977"/>
      <c r="E9" s="978"/>
      <c r="F9" s="976" t="s">
        <v>122</v>
      </c>
      <c r="G9" s="977"/>
      <c r="H9" s="977"/>
      <c r="I9" s="978"/>
      <c r="J9" s="976" t="s">
        <v>199</v>
      </c>
      <c r="K9" s="977"/>
      <c r="L9" s="977"/>
      <c r="M9" s="978"/>
      <c r="V9" s="9"/>
      <c r="W9" s="13"/>
    </row>
    <row r="10" spans="1:13" ht="53.25" customHeight="1">
      <c r="A10" s="952"/>
      <c r="B10" s="952"/>
      <c r="C10" s="436" t="s">
        <v>400</v>
      </c>
      <c r="D10" s="402" t="s">
        <v>397</v>
      </c>
      <c r="E10" s="436" t="s">
        <v>202</v>
      </c>
      <c r="F10" s="402" t="s">
        <v>395</v>
      </c>
      <c r="G10" s="436" t="s">
        <v>396</v>
      </c>
      <c r="H10" s="402" t="s">
        <v>397</v>
      </c>
      <c r="I10" s="436" t="s">
        <v>202</v>
      </c>
      <c r="J10" s="402" t="s">
        <v>399</v>
      </c>
      <c r="K10" s="436" t="s">
        <v>396</v>
      </c>
      <c r="L10" s="402" t="s">
        <v>397</v>
      </c>
      <c r="M10" s="371" t="s">
        <v>202</v>
      </c>
    </row>
    <row r="11" spans="1:13" s="15" customFormat="1" ht="16.5">
      <c r="A11" s="421">
        <v>1</v>
      </c>
      <c r="B11" s="421">
        <v>2</v>
      </c>
      <c r="C11" s="421">
        <v>3</v>
      </c>
      <c r="D11" s="421">
        <v>4</v>
      </c>
      <c r="E11" s="421">
        <v>5</v>
      </c>
      <c r="F11" s="421">
        <v>6</v>
      </c>
      <c r="G11" s="421">
        <v>7</v>
      </c>
      <c r="H11" s="421">
        <v>8</v>
      </c>
      <c r="I11" s="421">
        <v>9</v>
      </c>
      <c r="J11" s="421">
        <v>10</v>
      </c>
      <c r="K11" s="421">
        <v>11</v>
      </c>
      <c r="L11" s="421">
        <v>12</v>
      </c>
      <c r="M11" s="421">
        <v>13</v>
      </c>
    </row>
    <row r="12" spans="1:13" ht="16.5">
      <c r="A12" s="423">
        <v>1</v>
      </c>
      <c r="B12" s="373" t="s">
        <v>870</v>
      </c>
      <c r="C12" s="424">
        <v>62</v>
      </c>
      <c r="D12" s="424">
        <v>131</v>
      </c>
      <c r="E12" s="424">
        <v>35485</v>
      </c>
      <c r="F12" s="424">
        <v>0</v>
      </c>
      <c r="G12" s="424">
        <v>0</v>
      </c>
      <c r="H12" s="424">
        <v>0</v>
      </c>
      <c r="I12" s="424">
        <v>0</v>
      </c>
      <c r="J12" s="424">
        <v>0</v>
      </c>
      <c r="K12" s="424">
        <v>0</v>
      </c>
      <c r="L12" s="424">
        <v>0</v>
      </c>
      <c r="M12" s="424">
        <v>0</v>
      </c>
    </row>
    <row r="13" spans="1:13" ht="16.5">
      <c r="A13" s="423">
        <v>2</v>
      </c>
      <c r="B13" s="373" t="s">
        <v>871</v>
      </c>
      <c r="C13" s="424">
        <v>0</v>
      </c>
      <c r="D13" s="424">
        <v>0</v>
      </c>
      <c r="E13" s="424">
        <v>0</v>
      </c>
      <c r="F13" s="424">
        <v>0</v>
      </c>
      <c r="G13" s="424">
        <v>0</v>
      </c>
      <c r="H13" s="424">
        <v>0</v>
      </c>
      <c r="I13" s="424">
        <v>0</v>
      </c>
      <c r="J13" s="424">
        <v>0</v>
      </c>
      <c r="K13" s="424">
        <v>0</v>
      </c>
      <c r="L13" s="424">
        <v>0</v>
      </c>
      <c r="M13" s="424">
        <v>0</v>
      </c>
    </row>
    <row r="14" spans="1:13" ht="16.5">
      <c r="A14" s="423">
        <v>3</v>
      </c>
      <c r="B14" s="373" t="s">
        <v>872</v>
      </c>
      <c r="C14" s="424">
        <v>0</v>
      </c>
      <c r="D14" s="424">
        <v>0</v>
      </c>
      <c r="E14" s="424">
        <v>0</v>
      </c>
      <c r="F14" s="424">
        <v>0</v>
      </c>
      <c r="G14" s="424">
        <v>0</v>
      </c>
      <c r="H14" s="424">
        <v>0</v>
      </c>
      <c r="I14" s="424">
        <v>0</v>
      </c>
      <c r="J14" s="424">
        <v>0</v>
      </c>
      <c r="K14" s="424">
        <v>0</v>
      </c>
      <c r="L14" s="424">
        <v>0</v>
      </c>
      <c r="M14" s="424">
        <v>0</v>
      </c>
    </row>
    <row r="15" spans="1:13" ht="16.5">
      <c r="A15" s="423">
        <v>4</v>
      </c>
      <c r="B15" s="373" t="s">
        <v>873</v>
      </c>
      <c r="C15" s="424">
        <v>2035</v>
      </c>
      <c r="D15" s="424">
        <v>2154</v>
      </c>
      <c r="E15" s="424">
        <v>302362</v>
      </c>
      <c r="F15" s="424" t="s">
        <v>999</v>
      </c>
      <c r="G15" s="424">
        <v>1</v>
      </c>
      <c r="H15" s="424">
        <v>163</v>
      </c>
      <c r="I15" s="424">
        <v>40439</v>
      </c>
      <c r="J15" s="424">
        <v>0</v>
      </c>
      <c r="K15" s="424">
        <v>0</v>
      </c>
      <c r="L15" s="424">
        <v>0</v>
      </c>
      <c r="M15" s="424">
        <v>0</v>
      </c>
    </row>
    <row r="16" spans="1:13" ht="16.5">
      <c r="A16" s="423">
        <v>5</v>
      </c>
      <c r="B16" s="373" t="s">
        <v>874</v>
      </c>
      <c r="C16" s="424">
        <v>0</v>
      </c>
      <c r="D16" s="424">
        <v>0</v>
      </c>
      <c r="E16" s="424">
        <v>0</v>
      </c>
      <c r="F16" s="424">
        <v>0</v>
      </c>
      <c r="G16" s="424">
        <v>0</v>
      </c>
      <c r="H16" s="424">
        <v>0</v>
      </c>
      <c r="I16" s="424">
        <v>0</v>
      </c>
      <c r="J16" s="424">
        <v>0</v>
      </c>
      <c r="K16" s="424">
        <v>0</v>
      </c>
      <c r="L16" s="424">
        <v>0</v>
      </c>
      <c r="M16" s="424">
        <v>0</v>
      </c>
    </row>
    <row r="17" spans="1:13" ht="16.5">
      <c r="A17" s="423">
        <v>6</v>
      </c>
      <c r="B17" s="373" t="s">
        <v>875</v>
      </c>
      <c r="C17" s="424">
        <v>0</v>
      </c>
      <c r="D17" s="424">
        <v>0</v>
      </c>
      <c r="E17" s="424">
        <v>0</v>
      </c>
      <c r="F17" s="424">
        <v>0</v>
      </c>
      <c r="G17" s="424">
        <v>0</v>
      </c>
      <c r="H17" s="424">
        <v>0</v>
      </c>
      <c r="I17" s="424">
        <v>0</v>
      </c>
      <c r="J17" s="424">
        <v>0</v>
      </c>
      <c r="K17" s="424">
        <v>0</v>
      </c>
      <c r="L17" s="424">
        <v>0</v>
      </c>
      <c r="M17" s="424">
        <v>0</v>
      </c>
    </row>
    <row r="18" spans="1:13" ht="16.5">
      <c r="A18" s="423">
        <v>7</v>
      </c>
      <c r="B18" s="373" t="s">
        <v>876</v>
      </c>
      <c r="C18" s="424">
        <v>0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24">
        <v>0</v>
      </c>
      <c r="M18" s="424">
        <v>0</v>
      </c>
    </row>
    <row r="19" spans="1:13" ht="16.5">
      <c r="A19" s="423">
        <v>8</v>
      </c>
      <c r="B19" s="373" t="s">
        <v>877</v>
      </c>
      <c r="C19" s="424">
        <v>2035</v>
      </c>
      <c r="D19" s="424">
        <v>2035</v>
      </c>
      <c r="E19" s="424">
        <v>183545</v>
      </c>
      <c r="F19" s="424">
        <v>0</v>
      </c>
      <c r="G19" s="424">
        <v>0</v>
      </c>
      <c r="H19" s="424">
        <v>0</v>
      </c>
      <c r="I19" s="424">
        <v>0</v>
      </c>
      <c r="J19" s="424">
        <v>0</v>
      </c>
      <c r="K19" s="424">
        <v>0</v>
      </c>
      <c r="L19" s="424">
        <v>0</v>
      </c>
      <c r="M19" s="424">
        <v>0</v>
      </c>
    </row>
    <row r="20" spans="1:13" ht="16.5">
      <c r="A20" s="423">
        <v>9</v>
      </c>
      <c r="B20" s="373" t="s">
        <v>878</v>
      </c>
      <c r="C20" s="424">
        <v>0</v>
      </c>
      <c r="D20" s="424">
        <v>0</v>
      </c>
      <c r="E20" s="424">
        <v>0</v>
      </c>
      <c r="F20" s="424">
        <v>0</v>
      </c>
      <c r="G20" s="424">
        <v>0</v>
      </c>
      <c r="H20" s="424">
        <v>0</v>
      </c>
      <c r="I20" s="424">
        <v>0</v>
      </c>
      <c r="J20" s="424">
        <v>0</v>
      </c>
      <c r="K20" s="424">
        <v>0</v>
      </c>
      <c r="L20" s="424">
        <v>0</v>
      </c>
      <c r="M20" s="424">
        <v>0</v>
      </c>
    </row>
    <row r="21" spans="1:13" ht="16.5">
      <c r="A21" s="423">
        <v>10</v>
      </c>
      <c r="B21" s="373" t="s">
        <v>879</v>
      </c>
      <c r="C21" s="424">
        <v>1799</v>
      </c>
      <c r="D21" s="424">
        <v>1799</v>
      </c>
      <c r="E21" s="424">
        <v>101507</v>
      </c>
      <c r="F21" s="424"/>
      <c r="G21" s="424"/>
      <c r="H21" s="424"/>
      <c r="I21" s="424"/>
      <c r="J21" s="424"/>
      <c r="K21" s="424"/>
      <c r="L21" s="424"/>
      <c r="M21" s="424"/>
    </row>
    <row r="22" spans="1:13" ht="16.5">
      <c r="A22" s="423">
        <v>11</v>
      </c>
      <c r="B22" s="373" t="s">
        <v>880</v>
      </c>
      <c r="C22" s="424">
        <v>0</v>
      </c>
      <c r="D22" s="424">
        <v>0</v>
      </c>
      <c r="E22" s="424">
        <v>0</v>
      </c>
      <c r="F22" s="424">
        <v>0</v>
      </c>
      <c r="G22" s="424">
        <v>0</v>
      </c>
      <c r="H22" s="424">
        <v>0</v>
      </c>
      <c r="I22" s="424">
        <v>0</v>
      </c>
      <c r="J22" s="424">
        <v>0</v>
      </c>
      <c r="K22" s="424">
        <v>0</v>
      </c>
      <c r="L22" s="424">
        <v>0</v>
      </c>
      <c r="M22" s="424">
        <v>0</v>
      </c>
    </row>
    <row r="23" spans="1:13" ht="16.5">
      <c r="A23" s="423">
        <v>12</v>
      </c>
      <c r="B23" s="373" t="s">
        <v>881</v>
      </c>
      <c r="C23" s="424">
        <v>0</v>
      </c>
      <c r="D23" s="424">
        <v>0</v>
      </c>
      <c r="E23" s="424">
        <v>0</v>
      </c>
      <c r="F23" s="424">
        <v>0</v>
      </c>
      <c r="G23" s="424">
        <v>0</v>
      </c>
      <c r="H23" s="424">
        <v>0</v>
      </c>
      <c r="I23" s="424">
        <v>0</v>
      </c>
      <c r="J23" s="424">
        <v>0</v>
      </c>
      <c r="K23" s="424">
        <v>0</v>
      </c>
      <c r="L23" s="424">
        <v>0</v>
      </c>
      <c r="M23" s="424">
        <v>0</v>
      </c>
    </row>
    <row r="24" spans="1:13" ht="16.5">
      <c r="A24" s="423">
        <v>13</v>
      </c>
      <c r="B24" s="373" t="s">
        <v>882</v>
      </c>
      <c r="C24" s="424">
        <v>0</v>
      </c>
      <c r="D24" s="424">
        <v>0</v>
      </c>
      <c r="E24" s="424">
        <v>0</v>
      </c>
      <c r="F24" s="424">
        <v>0</v>
      </c>
      <c r="G24" s="424">
        <v>0</v>
      </c>
      <c r="H24" s="424">
        <v>0</v>
      </c>
      <c r="I24" s="424">
        <v>0</v>
      </c>
      <c r="J24" s="424">
        <v>0</v>
      </c>
      <c r="K24" s="424">
        <v>0</v>
      </c>
      <c r="L24" s="424">
        <v>0</v>
      </c>
      <c r="M24" s="424">
        <v>0</v>
      </c>
    </row>
    <row r="25" spans="1:13" ht="16.5">
      <c r="A25" s="423">
        <v>14</v>
      </c>
      <c r="B25" s="373" t="s">
        <v>883</v>
      </c>
      <c r="C25" s="424">
        <v>46</v>
      </c>
      <c r="D25" s="424">
        <v>46</v>
      </c>
      <c r="E25" s="424">
        <v>5712</v>
      </c>
      <c r="F25" s="424">
        <v>0</v>
      </c>
      <c r="G25" s="424">
        <v>0</v>
      </c>
      <c r="H25" s="424">
        <v>0</v>
      </c>
      <c r="I25" s="424">
        <v>0</v>
      </c>
      <c r="J25" s="424">
        <v>0</v>
      </c>
      <c r="K25" s="424">
        <v>0</v>
      </c>
      <c r="L25" s="424">
        <v>0</v>
      </c>
      <c r="M25" s="424">
        <v>0</v>
      </c>
    </row>
    <row r="26" spans="1:13" ht="16.5">
      <c r="A26" s="423">
        <v>15</v>
      </c>
      <c r="B26" s="373" t="s">
        <v>884</v>
      </c>
      <c r="C26" s="424">
        <v>0</v>
      </c>
      <c r="D26" s="424">
        <v>0</v>
      </c>
      <c r="E26" s="424">
        <v>0</v>
      </c>
      <c r="F26" s="424">
        <v>0</v>
      </c>
      <c r="G26" s="424">
        <v>0</v>
      </c>
      <c r="H26" s="424">
        <v>0</v>
      </c>
      <c r="I26" s="424">
        <v>0</v>
      </c>
      <c r="J26" s="424">
        <v>0</v>
      </c>
      <c r="K26" s="424">
        <v>0</v>
      </c>
      <c r="L26" s="424">
        <v>0</v>
      </c>
      <c r="M26" s="424">
        <v>0</v>
      </c>
    </row>
    <row r="27" spans="1:13" ht="16.5">
      <c r="A27" s="423">
        <v>16</v>
      </c>
      <c r="B27" s="373" t="s">
        <v>885</v>
      </c>
      <c r="C27" s="424">
        <v>0</v>
      </c>
      <c r="D27" s="424">
        <v>0</v>
      </c>
      <c r="E27" s="424">
        <v>0</v>
      </c>
      <c r="F27" s="424">
        <v>0</v>
      </c>
      <c r="G27" s="424">
        <v>0</v>
      </c>
      <c r="H27" s="424">
        <v>0</v>
      </c>
      <c r="I27" s="424">
        <v>0</v>
      </c>
      <c r="J27" s="424">
        <v>0</v>
      </c>
      <c r="K27" s="424">
        <v>0</v>
      </c>
      <c r="L27" s="424">
        <v>0</v>
      </c>
      <c r="M27" s="424">
        <v>0</v>
      </c>
    </row>
    <row r="28" spans="1:13" ht="16.5">
      <c r="A28" s="423">
        <v>17</v>
      </c>
      <c r="B28" s="373" t="s">
        <v>886</v>
      </c>
      <c r="C28" s="424">
        <v>264</v>
      </c>
      <c r="D28" s="424">
        <v>1882</v>
      </c>
      <c r="E28" s="424">
        <v>556395</v>
      </c>
      <c r="F28" s="424" t="s">
        <v>985</v>
      </c>
      <c r="G28" s="424">
        <v>2</v>
      </c>
      <c r="H28" s="424">
        <v>298</v>
      </c>
      <c r="I28" s="424">
        <v>79116</v>
      </c>
      <c r="J28" s="424" t="s">
        <v>986</v>
      </c>
      <c r="K28" s="424">
        <v>1</v>
      </c>
      <c r="L28" s="424">
        <v>12</v>
      </c>
      <c r="M28" s="424">
        <v>2393</v>
      </c>
    </row>
    <row r="29" spans="1:13" ht="16.5">
      <c r="A29" s="423">
        <v>18</v>
      </c>
      <c r="B29" s="373" t="s">
        <v>887</v>
      </c>
      <c r="C29" s="424">
        <v>0</v>
      </c>
      <c r="D29" s="424">
        <v>0</v>
      </c>
      <c r="E29" s="424">
        <v>0</v>
      </c>
      <c r="F29" s="424" t="s">
        <v>960</v>
      </c>
      <c r="G29" s="424">
        <v>1</v>
      </c>
      <c r="H29" s="424">
        <v>51</v>
      </c>
      <c r="I29" s="424">
        <v>4452</v>
      </c>
      <c r="J29" s="424">
        <v>0</v>
      </c>
      <c r="K29" s="424">
        <v>0</v>
      </c>
      <c r="L29" s="424">
        <v>0</v>
      </c>
      <c r="M29" s="424">
        <v>0</v>
      </c>
    </row>
    <row r="30" spans="1:13" ht="16.5">
      <c r="A30" s="423">
        <v>19</v>
      </c>
      <c r="B30" s="373" t="s">
        <v>888</v>
      </c>
      <c r="C30" s="424">
        <v>0</v>
      </c>
      <c r="D30" s="424">
        <v>0</v>
      </c>
      <c r="E30" s="424">
        <v>0</v>
      </c>
      <c r="F30" s="424">
        <v>0</v>
      </c>
      <c r="G30" s="424">
        <v>0</v>
      </c>
      <c r="H30" s="424">
        <v>0</v>
      </c>
      <c r="I30" s="424">
        <v>0</v>
      </c>
      <c r="J30" s="424">
        <v>0</v>
      </c>
      <c r="K30" s="424">
        <v>0</v>
      </c>
      <c r="L30" s="424">
        <v>0</v>
      </c>
      <c r="M30" s="424">
        <v>0</v>
      </c>
    </row>
    <row r="31" spans="1:13" ht="16.5">
      <c r="A31" s="423">
        <v>20</v>
      </c>
      <c r="B31" s="373" t="s">
        <v>889</v>
      </c>
      <c r="C31" s="424">
        <v>0</v>
      </c>
      <c r="D31" s="424">
        <v>0</v>
      </c>
      <c r="E31" s="424">
        <v>0</v>
      </c>
      <c r="F31" s="424">
        <v>0</v>
      </c>
      <c r="G31" s="424">
        <v>0</v>
      </c>
      <c r="H31" s="424">
        <v>0</v>
      </c>
      <c r="I31" s="424">
        <v>0</v>
      </c>
      <c r="J31" s="424">
        <v>0</v>
      </c>
      <c r="K31" s="424">
        <v>0</v>
      </c>
      <c r="L31" s="424">
        <v>0</v>
      </c>
      <c r="M31" s="424">
        <v>0</v>
      </c>
    </row>
    <row r="32" spans="1:13" ht="16.5">
      <c r="A32" s="423">
        <v>21</v>
      </c>
      <c r="B32" s="373" t="s">
        <v>890</v>
      </c>
      <c r="C32" s="424">
        <v>0</v>
      </c>
      <c r="D32" s="424">
        <v>0</v>
      </c>
      <c r="E32" s="424">
        <v>0</v>
      </c>
      <c r="F32" s="424">
        <v>0</v>
      </c>
      <c r="G32" s="424">
        <v>0</v>
      </c>
      <c r="H32" s="424">
        <v>0</v>
      </c>
      <c r="I32" s="424">
        <v>0</v>
      </c>
      <c r="J32" s="424">
        <v>0</v>
      </c>
      <c r="K32" s="424">
        <v>0</v>
      </c>
      <c r="L32" s="424">
        <v>0</v>
      </c>
      <c r="M32" s="424">
        <v>0</v>
      </c>
    </row>
    <row r="33" spans="1:13" ht="16.5">
      <c r="A33" s="423">
        <v>22</v>
      </c>
      <c r="B33" s="373" t="s">
        <v>891</v>
      </c>
      <c r="C33" s="424">
        <v>0</v>
      </c>
      <c r="D33" s="424">
        <v>0</v>
      </c>
      <c r="E33" s="424">
        <v>0</v>
      </c>
      <c r="F33" s="424">
        <v>0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4">
        <v>0</v>
      </c>
      <c r="M33" s="424">
        <v>0</v>
      </c>
    </row>
    <row r="34" spans="1:13" ht="16.5">
      <c r="A34" s="423">
        <v>23</v>
      </c>
      <c r="B34" s="373" t="s">
        <v>892</v>
      </c>
      <c r="C34" s="424">
        <v>0</v>
      </c>
      <c r="D34" s="424">
        <v>0</v>
      </c>
      <c r="E34" s="424">
        <v>0</v>
      </c>
      <c r="F34" s="424">
        <v>0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4">
        <v>0</v>
      </c>
      <c r="M34" s="424">
        <v>0</v>
      </c>
    </row>
    <row r="35" spans="1:13" ht="16.5">
      <c r="A35" s="423">
        <v>24</v>
      </c>
      <c r="B35" s="373" t="s">
        <v>893</v>
      </c>
      <c r="C35" s="424">
        <v>1887</v>
      </c>
      <c r="D35" s="424">
        <v>3189</v>
      </c>
      <c r="E35" s="424">
        <v>457709</v>
      </c>
      <c r="F35" s="424" t="s">
        <v>998</v>
      </c>
      <c r="G35" s="424">
        <v>1</v>
      </c>
      <c r="H35" s="424">
        <v>109</v>
      </c>
      <c r="I35" s="424">
        <v>29732</v>
      </c>
      <c r="J35" s="424">
        <v>0</v>
      </c>
      <c r="K35" s="424">
        <v>0</v>
      </c>
      <c r="L35" s="424">
        <v>0</v>
      </c>
      <c r="M35" s="424">
        <v>0</v>
      </c>
    </row>
    <row r="36" spans="1:13" ht="16.5">
      <c r="A36" s="423">
        <v>25</v>
      </c>
      <c r="B36" s="373" t="s">
        <v>894</v>
      </c>
      <c r="C36" s="424">
        <v>0</v>
      </c>
      <c r="D36" s="424">
        <v>0</v>
      </c>
      <c r="E36" s="424">
        <v>0</v>
      </c>
      <c r="F36" s="424">
        <v>0</v>
      </c>
      <c r="G36" s="424">
        <v>0</v>
      </c>
      <c r="H36" s="424">
        <v>0</v>
      </c>
      <c r="I36" s="424">
        <v>0</v>
      </c>
      <c r="J36" s="424">
        <v>0</v>
      </c>
      <c r="K36" s="424">
        <v>0</v>
      </c>
      <c r="L36" s="424">
        <v>0</v>
      </c>
      <c r="M36" s="424">
        <v>0</v>
      </c>
    </row>
    <row r="37" spans="1:13" ht="16.5">
      <c r="A37" s="423">
        <v>26</v>
      </c>
      <c r="B37" s="373" t="s">
        <v>895</v>
      </c>
      <c r="C37" s="424">
        <v>0</v>
      </c>
      <c r="D37" s="424">
        <v>0</v>
      </c>
      <c r="E37" s="424">
        <v>0</v>
      </c>
      <c r="F37" s="424">
        <v>0</v>
      </c>
      <c r="G37" s="424">
        <v>0</v>
      </c>
      <c r="H37" s="424">
        <v>0</v>
      </c>
      <c r="I37" s="424">
        <v>0</v>
      </c>
      <c r="J37" s="424">
        <v>0</v>
      </c>
      <c r="K37" s="424">
        <v>0</v>
      </c>
      <c r="L37" s="424">
        <v>0</v>
      </c>
      <c r="M37" s="424">
        <v>0</v>
      </c>
    </row>
    <row r="38" spans="1:13" ht="16.5">
      <c r="A38" s="423">
        <v>27</v>
      </c>
      <c r="B38" s="373" t="s">
        <v>896</v>
      </c>
      <c r="C38" s="424">
        <v>2515</v>
      </c>
      <c r="D38" s="424">
        <v>2515</v>
      </c>
      <c r="E38" s="424">
        <v>305171</v>
      </c>
      <c r="F38" s="424">
        <v>0</v>
      </c>
      <c r="G38" s="424">
        <v>0</v>
      </c>
      <c r="H38" s="424">
        <v>0</v>
      </c>
      <c r="I38" s="424">
        <v>0</v>
      </c>
      <c r="J38" s="424">
        <v>0</v>
      </c>
      <c r="K38" s="424">
        <v>0</v>
      </c>
      <c r="L38" s="424">
        <v>0</v>
      </c>
      <c r="M38" s="424">
        <v>0</v>
      </c>
    </row>
    <row r="39" spans="1:13" ht="16.5">
      <c r="A39" s="423">
        <v>28</v>
      </c>
      <c r="B39" s="373" t="s">
        <v>897</v>
      </c>
      <c r="C39" s="424">
        <v>57</v>
      </c>
      <c r="D39" s="424">
        <v>136</v>
      </c>
      <c r="E39" s="424">
        <v>43296</v>
      </c>
      <c r="F39" s="424">
        <v>0</v>
      </c>
      <c r="G39" s="424">
        <v>0</v>
      </c>
      <c r="H39" s="424">
        <v>0</v>
      </c>
      <c r="I39" s="424">
        <v>0</v>
      </c>
      <c r="J39" s="424">
        <v>0</v>
      </c>
      <c r="K39" s="424">
        <v>0</v>
      </c>
      <c r="L39" s="424">
        <v>0</v>
      </c>
      <c r="M39" s="424">
        <v>0</v>
      </c>
    </row>
    <row r="40" spans="1:13" ht="16.5">
      <c r="A40" s="423">
        <v>29</v>
      </c>
      <c r="B40" s="373" t="s">
        <v>898</v>
      </c>
      <c r="C40" s="424">
        <v>458</v>
      </c>
      <c r="D40" s="424">
        <v>458</v>
      </c>
      <c r="E40" s="424">
        <v>28566</v>
      </c>
      <c r="F40" s="424">
        <v>0</v>
      </c>
      <c r="G40" s="424">
        <v>0</v>
      </c>
      <c r="H40" s="424">
        <v>0</v>
      </c>
      <c r="I40" s="424">
        <v>0</v>
      </c>
      <c r="J40" s="424">
        <v>0</v>
      </c>
      <c r="K40" s="424">
        <v>0</v>
      </c>
      <c r="L40" s="424">
        <v>0</v>
      </c>
      <c r="M40" s="424"/>
    </row>
    <row r="41" spans="1:13" ht="16.5">
      <c r="A41" s="423">
        <v>30</v>
      </c>
      <c r="B41" s="373" t="s">
        <v>899</v>
      </c>
      <c r="C41" s="424">
        <v>0</v>
      </c>
      <c r="D41" s="424">
        <v>0</v>
      </c>
      <c r="E41" s="424">
        <v>0</v>
      </c>
      <c r="F41" s="424">
        <v>0</v>
      </c>
      <c r="G41" s="424">
        <v>0</v>
      </c>
      <c r="H41" s="424">
        <v>0</v>
      </c>
      <c r="I41" s="424">
        <v>0</v>
      </c>
      <c r="J41" s="424">
        <v>0</v>
      </c>
      <c r="K41" s="424">
        <v>0</v>
      </c>
      <c r="L41" s="424">
        <v>0</v>
      </c>
      <c r="M41" s="424">
        <v>0</v>
      </c>
    </row>
    <row r="42" spans="1:13" ht="16.5">
      <c r="A42" s="423">
        <v>31</v>
      </c>
      <c r="B42" s="373" t="s">
        <v>900</v>
      </c>
      <c r="C42" s="424">
        <v>946</v>
      </c>
      <c r="D42" s="424">
        <v>2785</v>
      </c>
      <c r="E42" s="424">
        <v>541980</v>
      </c>
      <c r="F42" s="424" t="s">
        <v>997</v>
      </c>
      <c r="G42" s="424">
        <v>2</v>
      </c>
      <c r="H42" s="424">
        <v>197</v>
      </c>
      <c r="I42" s="424">
        <v>22478</v>
      </c>
      <c r="J42" s="424">
        <v>0</v>
      </c>
      <c r="K42" s="424">
        <v>0</v>
      </c>
      <c r="L42" s="424">
        <v>0</v>
      </c>
      <c r="M42" s="424">
        <v>0</v>
      </c>
    </row>
    <row r="43" spans="1:13" ht="16.5">
      <c r="A43" s="423">
        <v>32</v>
      </c>
      <c r="B43" s="373" t="s">
        <v>901</v>
      </c>
      <c r="C43" s="424">
        <v>218</v>
      </c>
      <c r="D43" s="424">
        <v>218</v>
      </c>
      <c r="E43" s="424">
        <v>27609</v>
      </c>
      <c r="F43" s="424" t="s">
        <v>998</v>
      </c>
      <c r="G43" s="424">
        <v>2</v>
      </c>
      <c r="H43" s="424">
        <v>778</v>
      </c>
      <c r="I43" s="424">
        <v>69898</v>
      </c>
      <c r="J43" s="424">
        <v>0</v>
      </c>
      <c r="K43" s="424">
        <v>0</v>
      </c>
      <c r="L43" s="424">
        <v>0</v>
      </c>
      <c r="M43" s="424">
        <v>0</v>
      </c>
    </row>
    <row r="44" spans="1:13" ht="16.5">
      <c r="A44" s="423">
        <v>33</v>
      </c>
      <c r="B44" s="373" t="s">
        <v>902</v>
      </c>
      <c r="C44" s="424">
        <v>0</v>
      </c>
      <c r="D44" s="424">
        <v>0</v>
      </c>
      <c r="E44" s="424">
        <v>0</v>
      </c>
      <c r="F44" s="424">
        <v>0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4">
        <v>0</v>
      </c>
      <c r="M44" s="424">
        <v>0</v>
      </c>
    </row>
    <row r="45" spans="1:13" ht="16.5">
      <c r="A45" s="423">
        <v>34</v>
      </c>
      <c r="B45" s="373" t="s">
        <v>903</v>
      </c>
      <c r="C45" s="424">
        <v>0</v>
      </c>
      <c r="D45" s="424">
        <v>0</v>
      </c>
      <c r="E45" s="424">
        <v>0</v>
      </c>
      <c r="F45" s="424">
        <v>0</v>
      </c>
      <c r="G45" s="424">
        <v>0</v>
      </c>
      <c r="H45" s="424">
        <v>0</v>
      </c>
      <c r="I45" s="424">
        <v>0</v>
      </c>
      <c r="J45" s="424">
        <v>0</v>
      </c>
      <c r="K45" s="424">
        <v>0</v>
      </c>
      <c r="L45" s="424">
        <v>0</v>
      </c>
      <c r="M45" s="424">
        <v>0</v>
      </c>
    </row>
    <row r="46" spans="1:13" ht="16.5">
      <c r="A46" s="423">
        <v>35</v>
      </c>
      <c r="B46" s="373" t="s">
        <v>904</v>
      </c>
      <c r="C46" s="424">
        <v>0</v>
      </c>
      <c r="D46" s="424">
        <v>0</v>
      </c>
      <c r="E46" s="424">
        <v>0</v>
      </c>
      <c r="F46" s="424">
        <v>0</v>
      </c>
      <c r="G46" s="424">
        <v>0</v>
      </c>
      <c r="H46" s="424">
        <v>0</v>
      </c>
      <c r="I46" s="424">
        <v>0</v>
      </c>
      <c r="J46" s="424">
        <v>0</v>
      </c>
      <c r="K46" s="424">
        <v>0</v>
      </c>
      <c r="L46" s="424">
        <v>0</v>
      </c>
      <c r="M46" s="424">
        <v>0</v>
      </c>
    </row>
    <row r="47" spans="1:13" ht="16.5">
      <c r="A47" s="425" t="s">
        <v>19</v>
      </c>
      <c r="B47" s="425"/>
      <c r="C47" s="424">
        <f>SUM(C12:C46)</f>
        <v>12322</v>
      </c>
      <c r="D47" s="424">
        <f aca="true" t="shared" si="0" ref="D47:M47">SUM(D12:D46)</f>
        <v>17348</v>
      </c>
      <c r="E47" s="424">
        <f t="shared" si="0"/>
        <v>2589337</v>
      </c>
      <c r="F47" s="424">
        <f t="shared" si="0"/>
        <v>0</v>
      </c>
      <c r="G47" s="424">
        <f t="shared" si="0"/>
        <v>9</v>
      </c>
      <c r="H47" s="424">
        <f t="shared" si="0"/>
        <v>1596</v>
      </c>
      <c r="I47" s="424">
        <f t="shared" si="0"/>
        <v>246115</v>
      </c>
      <c r="J47" s="424">
        <f t="shared" si="0"/>
        <v>0</v>
      </c>
      <c r="K47" s="424">
        <f t="shared" si="0"/>
        <v>1</v>
      </c>
      <c r="L47" s="424">
        <f t="shared" si="0"/>
        <v>12</v>
      </c>
      <c r="M47" s="424">
        <f t="shared" si="0"/>
        <v>2393</v>
      </c>
    </row>
    <row r="48" spans="1:13" ht="16.5">
      <c r="A48" s="426"/>
      <c r="B48" s="426"/>
      <c r="C48" s="426"/>
      <c r="D48" s="426"/>
      <c r="E48" s="426"/>
      <c r="F48" s="415"/>
      <c r="G48" s="415"/>
      <c r="H48" s="415"/>
      <c r="I48" s="415"/>
      <c r="J48" s="415"/>
      <c r="K48" s="415"/>
      <c r="L48" s="415"/>
      <c r="M48" s="415"/>
    </row>
    <row r="49" spans="1:13" ht="16.5">
      <c r="A49" s="415"/>
      <c r="B49" s="415"/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</row>
    <row r="50" spans="1:13" ht="16.5">
      <c r="A50" s="415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</row>
    <row r="51" spans="1:13" ht="16.5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</row>
    <row r="52" spans="1:13" ht="16.5">
      <c r="A52" s="964"/>
      <c r="B52" s="964"/>
      <c r="C52" s="964"/>
      <c r="D52" s="964"/>
      <c r="E52" s="964"/>
      <c r="F52" s="964"/>
      <c r="G52" s="964"/>
      <c r="H52" s="964"/>
      <c r="I52" s="964"/>
      <c r="J52" s="964"/>
      <c r="K52" s="964"/>
      <c r="L52" s="964"/>
      <c r="M52" s="427"/>
    </row>
    <row r="53" spans="1:13" ht="16.5" customHeight="1">
      <c r="A53" s="415"/>
      <c r="B53" s="415"/>
      <c r="C53" s="415"/>
      <c r="D53" s="748" t="s">
        <v>1021</v>
      </c>
      <c r="E53" s="748"/>
      <c r="F53" s="748"/>
      <c r="G53" s="83"/>
      <c r="J53" s="748" t="s">
        <v>1024</v>
      </c>
      <c r="K53" s="748"/>
      <c r="L53" s="748"/>
      <c r="M53" s="748"/>
    </row>
    <row r="54" spans="1:13" ht="16.5" customHeight="1">
      <c r="A54" s="418" t="s">
        <v>12</v>
      </c>
      <c r="B54" s="418"/>
      <c r="C54" s="418"/>
      <c r="D54" s="748" t="s">
        <v>1022</v>
      </c>
      <c r="E54" s="748"/>
      <c r="F54" s="748"/>
      <c r="G54" s="83"/>
      <c r="J54" s="748" t="s">
        <v>1025</v>
      </c>
      <c r="K54" s="748"/>
      <c r="L54" s="748"/>
      <c r="M54" s="748"/>
    </row>
    <row r="55" spans="1:13" ht="16.5">
      <c r="A55" s="435"/>
      <c r="B55" s="435"/>
      <c r="C55" s="435"/>
      <c r="D55" s="735" t="s">
        <v>1023</v>
      </c>
      <c r="E55" s="735"/>
      <c r="F55" s="735"/>
      <c r="G55" s="36"/>
      <c r="J55" s="735" t="s">
        <v>1023</v>
      </c>
      <c r="K55" s="735"/>
      <c r="L55" s="735"/>
      <c r="M55" s="735"/>
    </row>
    <row r="56" spans="1:13" ht="15" customHeight="1">
      <c r="A56" s="435"/>
      <c r="B56" s="435"/>
      <c r="C56" s="435"/>
      <c r="J56" s="435"/>
      <c r="K56" s="435"/>
      <c r="L56" s="435"/>
      <c r="M56" s="435"/>
    </row>
    <row r="57" spans="1:13" ht="16.5">
      <c r="A57" s="415"/>
      <c r="B57" s="415"/>
      <c r="C57" s="415"/>
      <c r="D57" s="415"/>
      <c r="E57" s="415"/>
      <c r="F57" s="415"/>
      <c r="G57" s="415"/>
      <c r="H57" s="350"/>
      <c r="I57" s="350"/>
      <c r="J57" s="350"/>
      <c r="K57" s="350"/>
      <c r="L57" s="368"/>
      <c r="M57" s="368"/>
    </row>
  </sheetData>
  <sheetProtection/>
  <mergeCells count="16">
    <mergeCell ref="C9:E9"/>
    <mergeCell ref="J54:M54"/>
    <mergeCell ref="J55:M55"/>
    <mergeCell ref="D53:F53"/>
    <mergeCell ref="D54:F54"/>
    <mergeCell ref="D55:F55"/>
    <mergeCell ref="L1:M1"/>
    <mergeCell ref="A2:M2"/>
    <mergeCell ref="A3:M3"/>
    <mergeCell ref="A5:M5"/>
    <mergeCell ref="J53:M53"/>
    <mergeCell ref="A9:A10"/>
    <mergeCell ref="B9:B10"/>
    <mergeCell ref="F9:I9"/>
    <mergeCell ref="J9:M9"/>
    <mergeCell ref="A52:L52"/>
  </mergeCells>
  <printOptions horizontalCentered="1"/>
  <pageMargins left="0.7086614173228347" right="0.7086614173228347" top="0.2362204724409449" bottom="0" header="0.24" footer="0.31496062992125984"/>
  <pageSetup fitToHeight="1" fitToWidth="1" horizontalDpi="600" verticalDpi="600" orientation="landscape" paperSize="9" scale="5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="84" zoomScaleSheetLayoutView="84" zoomScalePageLayoutView="0" workbookViewId="0" topLeftCell="A1">
      <pane xSplit="2" ySplit="8" topLeftCell="C4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1" sqref="I51:K51"/>
    </sheetView>
  </sheetViews>
  <sheetFormatPr defaultColWidth="9.140625" defaultRowHeight="12.75"/>
  <cols>
    <col min="1" max="1" width="5.8515625" style="0" customWidth="1"/>
    <col min="2" max="2" width="11.8515625" style="0" customWidth="1"/>
    <col min="6" max="6" width="13.421875" style="0" customWidth="1"/>
    <col min="7" max="7" width="14.8515625" style="0" customWidth="1"/>
    <col min="8" max="8" width="12.421875" style="0" customWidth="1"/>
    <col min="9" max="9" width="15.28125" style="0" customWidth="1"/>
    <col min="10" max="10" width="14.28125" style="0" customWidth="1"/>
    <col min="11" max="11" width="13.8515625" style="0" customWidth="1"/>
    <col min="12" max="12" width="9.140625" style="0" hidden="1" customWidth="1"/>
  </cols>
  <sheetData>
    <row r="1" spans="1:11" ht="18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979" t="s">
        <v>543</v>
      </c>
      <c r="K1" s="979"/>
    </row>
    <row r="2" spans="1:11" ht="21">
      <c r="A2" s="802" t="s">
        <v>656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</row>
    <row r="3" spans="1:11" ht="1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1" ht="15">
      <c r="A4" s="980" t="s">
        <v>542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</row>
    <row r="5" spans="1:12" ht="15">
      <c r="A5" s="208" t="s">
        <v>1020</v>
      </c>
      <c r="B5" s="208"/>
      <c r="C5" s="209"/>
      <c r="D5" s="197"/>
      <c r="E5" s="197"/>
      <c r="F5" s="197"/>
      <c r="G5" s="197"/>
      <c r="H5" s="197"/>
      <c r="I5" s="196"/>
      <c r="J5" s="914" t="s">
        <v>820</v>
      </c>
      <c r="K5" s="914"/>
      <c r="L5" s="914"/>
    </row>
    <row r="6" spans="1:11" ht="27.75" customHeight="1">
      <c r="A6" s="917" t="s">
        <v>2</v>
      </c>
      <c r="B6" s="917" t="s">
        <v>3</v>
      </c>
      <c r="C6" s="917" t="s">
        <v>309</v>
      </c>
      <c r="D6" s="917" t="s">
        <v>310</v>
      </c>
      <c r="E6" s="917"/>
      <c r="F6" s="917"/>
      <c r="G6" s="917"/>
      <c r="H6" s="917"/>
      <c r="I6" s="918" t="s">
        <v>311</v>
      </c>
      <c r="J6" s="919"/>
      <c r="K6" s="920"/>
    </row>
    <row r="7" spans="1:11" ht="90" customHeight="1">
      <c r="A7" s="917"/>
      <c r="B7" s="917"/>
      <c r="C7" s="917"/>
      <c r="D7" s="229" t="s">
        <v>312</v>
      </c>
      <c r="E7" s="229" t="s">
        <v>202</v>
      </c>
      <c r="F7" s="229" t="s">
        <v>464</v>
      </c>
      <c r="G7" s="229" t="s">
        <v>313</v>
      </c>
      <c r="H7" s="229" t="s">
        <v>436</v>
      </c>
      <c r="I7" s="229" t="s">
        <v>314</v>
      </c>
      <c r="J7" s="229" t="s">
        <v>315</v>
      </c>
      <c r="K7" s="229" t="s">
        <v>316</v>
      </c>
    </row>
    <row r="8" spans="1:11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  <c r="H8" s="200" t="s">
        <v>279</v>
      </c>
      <c r="I8" s="200" t="s">
        <v>298</v>
      </c>
      <c r="J8" s="200" t="s">
        <v>299</v>
      </c>
      <c r="K8" s="200" t="s">
        <v>300</v>
      </c>
    </row>
    <row r="9" spans="1:11" ht="12.75">
      <c r="A9" s="8">
        <v>1</v>
      </c>
      <c r="B9" s="328" t="s">
        <v>870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2.75">
      <c r="A10" s="8">
        <v>2</v>
      </c>
      <c r="B10" s="328" t="s">
        <v>871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2.75">
      <c r="A11" s="8">
        <v>3</v>
      </c>
      <c r="B11" s="328" t="s">
        <v>872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>
      <c r="A12" s="8">
        <v>4</v>
      </c>
      <c r="B12" s="578" t="s">
        <v>873</v>
      </c>
      <c r="C12" s="201">
        <v>1</v>
      </c>
      <c r="D12" s="201">
        <v>163</v>
      </c>
      <c r="E12" s="201">
        <v>40439</v>
      </c>
      <c r="F12" s="201">
        <v>60</v>
      </c>
      <c r="G12" s="201">
        <v>180</v>
      </c>
      <c r="H12" s="201">
        <v>240</v>
      </c>
      <c r="I12" s="201">
        <v>1</v>
      </c>
      <c r="J12" s="201">
        <v>0</v>
      </c>
      <c r="K12" s="201">
        <v>1</v>
      </c>
    </row>
    <row r="13" spans="1:11" ht="12.75">
      <c r="A13" s="8">
        <v>5</v>
      </c>
      <c r="B13" s="328" t="s">
        <v>874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.75">
      <c r="A14" s="8">
        <v>6</v>
      </c>
      <c r="B14" s="328" t="s">
        <v>875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2.75">
      <c r="A15" s="8">
        <v>7</v>
      </c>
      <c r="B15" s="328" t="s">
        <v>876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2.75">
      <c r="A16" s="8">
        <v>8</v>
      </c>
      <c r="B16" s="328" t="s">
        <v>877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2" ht="12.75">
      <c r="A17" s="8">
        <v>9</v>
      </c>
      <c r="B17" s="328" t="s">
        <v>878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1" ht="12.75">
      <c r="A18" s="8">
        <v>10</v>
      </c>
      <c r="B18" s="328" t="s">
        <v>879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2.75">
      <c r="A19" s="8">
        <v>11</v>
      </c>
      <c r="B19" s="328" t="s">
        <v>880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2.75">
      <c r="A20" s="8">
        <v>12</v>
      </c>
      <c r="B20" s="328" t="s">
        <v>881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2.75">
      <c r="A21" s="8">
        <v>13</v>
      </c>
      <c r="B21" s="328" t="s">
        <v>882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2.75">
      <c r="A22" s="8">
        <v>14</v>
      </c>
      <c r="B22" s="328" t="s">
        <v>883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2.75">
      <c r="A23" s="8">
        <v>15</v>
      </c>
      <c r="B23" s="328" t="s">
        <v>884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2.75">
      <c r="A24" s="8">
        <v>16</v>
      </c>
      <c r="B24" s="328" t="s">
        <v>885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2.75">
      <c r="A25" s="8">
        <v>17</v>
      </c>
      <c r="B25" s="328" t="s">
        <v>886</v>
      </c>
      <c r="C25" s="9">
        <v>2</v>
      </c>
      <c r="D25" s="9">
        <v>298</v>
      </c>
      <c r="E25" s="9">
        <v>79116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  <row r="26" spans="1:11" ht="12.75">
      <c r="A26" s="8">
        <v>18</v>
      </c>
      <c r="B26" s="328" t="s">
        <v>887</v>
      </c>
      <c r="C26" s="9">
        <v>1</v>
      </c>
      <c r="D26" s="9">
        <v>51</v>
      </c>
      <c r="E26" s="9">
        <v>4452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2.75">
      <c r="A27" s="8">
        <v>19</v>
      </c>
      <c r="B27" s="328" t="s">
        <v>888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2.75">
      <c r="A28" s="8">
        <v>20</v>
      </c>
      <c r="B28" s="328" t="s">
        <v>889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ht="12.75">
      <c r="A29" s="8">
        <v>21</v>
      </c>
      <c r="B29" s="328" t="s">
        <v>890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</row>
    <row r="30" spans="1:11" ht="12.75">
      <c r="A30" s="8">
        <v>22</v>
      </c>
      <c r="B30" s="328" t="s">
        <v>891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</row>
    <row r="31" spans="1:11" ht="12.75">
      <c r="A31" s="8">
        <v>23</v>
      </c>
      <c r="B31" s="328" t="s">
        <v>892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2.75">
      <c r="A32" s="8">
        <v>24</v>
      </c>
      <c r="B32" s="328" t="s">
        <v>893</v>
      </c>
      <c r="C32" s="9">
        <v>1</v>
      </c>
      <c r="D32" s="9">
        <v>109</v>
      </c>
      <c r="E32" s="9">
        <v>29732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</row>
    <row r="33" spans="1:11" ht="12.75">
      <c r="A33" s="8">
        <v>25</v>
      </c>
      <c r="B33" s="328" t="s">
        <v>894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</row>
    <row r="34" spans="1:11" ht="12.75">
      <c r="A34" s="8">
        <v>26</v>
      </c>
      <c r="B34" s="328" t="s">
        <v>895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ht="12.75">
      <c r="A35" s="8">
        <v>27</v>
      </c>
      <c r="B35" s="328" t="s">
        <v>896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</row>
    <row r="36" spans="1:11" ht="12.75">
      <c r="A36" s="8">
        <v>28</v>
      </c>
      <c r="B36" s="328" t="s">
        <v>897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</row>
    <row r="37" spans="1:11" ht="12.75">
      <c r="A37" s="8">
        <v>29</v>
      </c>
      <c r="B37" s="328" t="s">
        <v>898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1" ht="12.75">
      <c r="A38" s="8">
        <v>30</v>
      </c>
      <c r="B38" s="328" t="s">
        <v>899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ht="12.75">
      <c r="A39" s="8">
        <v>31</v>
      </c>
      <c r="B39" s="328" t="s">
        <v>900</v>
      </c>
      <c r="C39" s="9">
        <v>2</v>
      </c>
      <c r="D39" s="9">
        <v>197</v>
      </c>
      <c r="E39" s="9">
        <v>22478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12.75">
      <c r="A40" s="8">
        <v>32</v>
      </c>
      <c r="B40" s="328" t="s">
        <v>901</v>
      </c>
      <c r="C40" s="9">
        <v>2</v>
      </c>
      <c r="D40" s="9">
        <v>778</v>
      </c>
      <c r="E40" s="9">
        <v>69898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12.75">
      <c r="A41" s="8">
        <v>33</v>
      </c>
      <c r="B41" s="328" t="s">
        <v>902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</row>
    <row r="42" spans="1:11" ht="12.75">
      <c r="A42" s="8">
        <v>34</v>
      </c>
      <c r="B42" s="328" t="s">
        <v>903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2.75">
      <c r="A43" s="8">
        <v>35</v>
      </c>
      <c r="B43" s="328" t="s">
        <v>904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</row>
    <row r="44" spans="1:12" ht="12.75">
      <c r="A44" s="30" t="s">
        <v>19</v>
      </c>
      <c r="B44" s="9"/>
      <c r="C44" s="9">
        <f>SUM(C9:C43)</f>
        <v>9</v>
      </c>
      <c r="D44" s="9">
        <f aca="true" t="shared" si="0" ref="D44:L44">SUM(D9:D43)</f>
        <v>1596</v>
      </c>
      <c r="E44" s="9">
        <f t="shared" si="0"/>
        <v>246115</v>
      </c>
      <c r="F44" s="9">
        <f t="shared" si="0"/>
        <v>60</v>
      </c>
      <c r="G44" s="9">
        <f t="shared" si="0"/>
        <v>180</v>
      </c>
      <c r="H44" s="9">
        <f t="shared" si="0"/>
        <v>240</v>
      </c>
      <c r="I44" s="9">
        <f t="shared" si="0"/>
        <v>1</v>
      </c>
      <c r="J44" s="9">
        <f t="shared" si="0"/>
        <v>0</v>
      </c>
      <c r="K44" s="9">
        <f t="shared" si="0"/>
        <v>1</v>
      </c>
      <c r="L44" s="9">
        <f t="shared" si="0"/>
        <v>0</v>
      </c>
    </row>
    <row r="46" ht="12.75">
      <c r="A46" s="15" t="s">
        <v>465</v>
      </c>
    </row>
    <row r="48" spans="1:11" ht="12.75">
      <c r="A48" s="203"/>
      <c r="B48" s="203"/>
      <c r="C48" s="203"/>
      <c r="D48" s="203"/>
      <c r="I48" s="217"/>
      <c r="J48" s="217"/>
      <c r="K48" s="217"/>
    </row>
    <row r="49" spans="1:12" ht="15" customHeight="1">
      <c r="A49" s="203"/>
      <c r="B49" s="203"/>
      <c r="C49" s="748" t="s">
        <v>1021</v>
      </c>
      <c r="D49" s="748"/>
      <c r="E49" s="748"/>
      <c r="F49" s="748"/>
      <c r="I49" s="748" t="s">
        <v>1024</v>
      </c>
      <c r="J49" s="748"/>
      <c r="K49" s="748"/>
      <c r="L49" s="122"/>
    </row>
    <row r="50" spans="1:12" ht="15" customHeight="1">
      <c r="A50" s="203"/>
      <c r="B50" s="203"/>
      <c r="C50" s="748" t="s">
        <v>1022</v>
      </c>
      <c r="D50" s="748"/>
      <c r="E50" s="748"/>
      <c r="F50" s="748"/>
      <c r="I50" s="748" t="s">
        <v>1025</v>
      </c>
      <c r="J50" s="748"/>
      <c r="K50" s="748"/>
      <c r="L50" s="122"/>
    </row>
    <row r="51" spans="1:12" ht="12.75">
      <c r="A51" s="203" t="s">
        <v>12</v>
      </c>
      <c r="C51" s="735" t="s">
        <v>1023</v>
      </c>
      <c r="D51" s="735"/>
      <c r="E51" s="735"/>
      <c r="F51" s="735"/>
      <c r="I51" s="735" t="s">
        <v>1023</v>
      </c>
      <c r="J51" s="735"/>
      <c r="K51" s="735"/>
      <c r="L51" s="1"/>
    </row>
  </sheetData>
  <sheetProtection/>
  <mergeCells count="16">
    <mergeCell ref="D6:H6"/>
    <mergeCell ref="I6:K6"/>
    <mergeCell ref="A1:I1"/>
    <mergeCell ref="J1:K1"/>
    <mergeCell ref="A2:K2"/>
    <mergeCell ref="A4:K4"/>
    <mergeCell ref="J5:L5"/>
    <mergeCell ref="A6:A7"/>
    <mergeCell ref="B6:B7"/>
    <mergeCell ref="C6:C7"/>
    <mergeCell ref="C49:F49"/>
    <mergeCell ref="C50:F50"/>
    <mergeCell ref="C51:F51"/>
    <mergeCell ref="I49:K49"/>
    <mergeCell ref="I50:K50"/>
    <mergeCell ref="I51:K51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74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SheetLayoutView="80" zoomScalePageLayoutView="0" workbookViewId="0" topLeftCell="A1">
      <selection activeCell="D22" sqref="D22:N24"/>
    </sheetView>
  </sheetViews>
  <sheetFormatPr defaultColWidth="9.140625" defaultRowHeight="12.75"/>
  <cols>
    <col min="1" max="1" width="7.8515625" style="0" customWidth="1"/>
    <col min="2" max="2" width="10.8515625" style="0" customWidth="1"/>
    <col min="7" max="7" width="12.28125" style="0" customWidth="1"/>
    <col min="8" max="8" width="11.57421875" style="0" customWidth="1"/>
    <col min="9" max="12" width="10.421875" style="0" customWidth="1"/>
    <col min="13" max="13" width="11.00390625" style="0" customWidth="1"/>
    <col min="14" max="14" width="10.00390625" style="0" customWidth="1"/>
    <col min="15" max="15" width="11.8515625" style="0" customWidth="1"/>
  </cols>
  <sheetData>
    <row r="1" spans="1:15" ht="18">
      <c r="A1" s="801" t="s">
        <v>0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  <c r="M1" s="801"/>
      <c r="N1" s="801"/>
      <c r="O1" s="236" t="s">
        <v>545</v>
      </c>
    </row>
    <row r="2" spans="1:15" ht="21">
      <c r="A2" s="802" t="s">
        <v>656</v>
      </c>
      <c r="B2" s="802"/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</row>
    <row r="3" spans="1:11" ht="15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4" spans="1:15" ht="18">
      <c r="A4" s="801" t="s">
        <v>544</v>
      </c>
      <c r="B4" s="801"/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  <c r="O4" s="801"/>
    </row>
    <row r="5" spans="1:15" ht="15">
      <c r="A5" s="208" t="s">
        <v>1020</v>
      </c>
      <c r="B5" s="208"/>
      <c r="C5" s="209"/>
      <c r="D5" s="197"/>
      <c r="E5" s="197"/>
      <c r="F5" s="197"/>
      <c r="G5" s="197"/>
      <c r="H5" s="197"/>
      <c r="I5" s="197"/>
      <c r="J5" s="197"/>
      <c r="K5" s="196"/>
      <c r="M5" s="914" t="s">
        <v>820</v>
      </c>
      <c r="N5" s="914"/>
      <c r="O5" s="914"/>
    </row>
    <row r="6" spans="1:15" ht="44.25" customHeight="1">
      <c r="A6" s="917" t="s">
        <v>2</v>
      </c>
      <c r="B6" s="917" t="s">
        <v>3</v>
      </c>
      <c r="C6" s="917" t="s">
        <v>317</v>
      </c>
      <c r="D6" s="915" t="s">
        <v>318</v>
      </c>
      <c r="E6" s="915" t="s">
        <v>319</v>
      </c>
      <c r="F6" s="915" t="s">
        <v>320</v>
      </c>
      <c r="G6" s="915" t="s">
        <v>321</v>
      </c>
      <c r="H6" s="917" t="s">
        <v>322</v>
      </c>
      <c r="I6" s="917"/>
      <c r="J6" s="917" t="s">
        <v>323</v>
      </c>
      <c r="K6" s="917"/>
      <c r="L6" s="917" t="s">
        <v>324</v>
      </c>
      <c r="M6" s="917"/>
      <c r="N6" s="917" t="s">
        <v>325</v>
      </c>
      <c r="O6" s="917"/>
    </row>
    <row r="7" spans="1:15" ht="54" customHeight="1">
      <c r="A7" s="917"/>
      <c r="B7" s="917"/>
      <c r="C7" s="917"/>
      <c r="D7" s="916"/>
      <c r="E7" s="916"/>
      <c r="F7" s="916"/>
      <c r="G7" s="916"/>
      <c r="H7" s="229" t="s">
        <v>326</v>
      </c>
      <c r="I7" s="229" t="s">
        <v>327</v>
      </c>
      <c r="J7" s="229" t="s">
        <v>326</v>
      </c>
      <c r="K7" s="229" t="s">
        <v>327</v>
      </c>
      <c r="L7" s="229" t="s">
        <v>326</v>
      </c>
      <c r="M7" s="229" t="s">
        <v>327</v>
      </c>
      <c r="N7" s="229" t="s">
        <v>326</v>
      </c>
      <c r="O7" s="229" t="s">
        <v>327</v>
      </c>
    </row>
    <row r="8" spans="1:15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  <c r="H8" s="200" t="s">
        <v>279</v>
      </c>
      <c r="I8" s="200" t="s">
        <v>298</v>
      </c>
      <c r="J8" s="200" t="s">
        <v>299</v>
      </c>
      <c r="K8" s="200" t="s">
        <v>300</v>
      </c>
      <c r="L8" s="200" t="s">
        <v>328</v>
      </c>
      <c r="M8" s="200" t="s">
        <v>329</v>
      </c>
      <c r="N8" s="200" t="s">
        <v>330</v>
      </c>
      <c r="O8" s="200" t="s">
        <v>331</v>
      </c>
    </row>
    <row r="9" spans="1:15" ht="18" customHeight="1">
      <c r="A9" s="9">
        <v>1</v>
      </c>
      <c r="B9" s="9" t="s">
        <v>873</v>
      </c>
      <c r="C9" s="9">
        <v>1</v>
      </c>
      <c r="D9" s="981" t="s">
        <v>969</v>
      </c>
      <c r="E9" s="9">
        <v>163</v>
      </c>
      <c r="F9" s="9">
        <v>40439</v>
      </c>
      <c r="G9" s="9">
        <v>16</v>
      </c>
      <c r="H9" s="9">
        <v>550.77</v>
      </c>
      <c r="I9" s="9">
        <v>550.77</v>
      </c>
      <c r="J9" s="9">
        <v>297.14</v>
      </c>
      <c r="K9" s="9">
        <v>297.14</v>
      </c>
      <c r="L9" s="9">
        <v>1</v>
      </c>
      <c r="M9" s="9">
        <v>1</v>
      </c>
      <c r="N9" s="9">
        <v>0</v>
      </c>
      <c r="O9" s="9">
        <v>0</v>
      </c>
    </row>
    <row r="10" spans="1:15" ht="16.5" customHeight="1">
      <c r="A10" s="9">
        <v>2</v>
      </c>
      <c r="B10" s="9" t="s">
        <v>901</v>
      </c>
      <c r="C10" s="9">
        <v>2</v>
      </c>
      <c r="D10" s="982"/>
      <c r="E10" s="9">
        <v>778</v>
      </c>
      <c r="F10" s="9">
        <v>69898</v>
      </c>
      <c r="G10" s="9">
        <v>45</v>
      </c>
      <c r="H10" s="9">
        <v>1168.27</v>
      </c>
      <c r="I10" s="9">
        <v>938.47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</row>
    <row r="11" spans="1:15" ht="15.75" customHeight="1">
      <c r="A11" s="9">
        <v>3</v>
      </c>
      <c r="B11" s="9" t="s">
        <v>886</v>
      </c>
      <c r="C11" s="9">
        <v>1</v>
      </c>
      <c r="D11" s="982"/>
      <c r="E11" s="9">
        <v>288</v>
      </c>
      <c r="F11" s="9">
        <v>79116</v>
      </c>
      <c r="G11" s="9">
        <v>10</v>
      </c>
      <c r="H11" s="9">
        <v>730</v>
      </c>
      <c r="I11" s="9">
        <v>567.56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</row>
    <row r="12" spans="1:15" ht="12.75">
      <c r="A12" s="9">
        <v>4</v>
      </c>
      <c r="B12" s="9" t="s">
        <v>893</v>
      </c>
      <c r="C12" s="9">
        <v>1</v>
      </c>
      <c r="D12" s="983"/>
      <c r="E12" s="9">
        <v>109</v>
      </c>
      <c r="F12" s="9">
        <v>29732</v>
      </c>
      <c r="G12" s="9">
        <v>26</v>
      </c>
      <c r="H12" s="9">
        <v>792.06</v>
      </c>
      <c r="I12" s="9">
        <v>778.35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</row>
    <row r="13" spans="1:15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9"/>
      <c r="B17" s="9"/>
      <c r="C17" s="9"/>
      <c r="D17" s="9"/>
      <c r="E17" s="20" t="s">
        <v>11</v>
      </c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2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21" spans="1:15" ht="12.75">
      <c r="A21" s="203"/>
      <c r="B21" s="203"/>
      <c r="C21" s="203"/>
      <c r="D21" s="203"/>
      <c r="L21" s="217"/>
      <c r="M21" s="217"/>
      <c r="N21" s="217"/>
      <c r="O21" s="217"/>
    </row>
    <row r="22" spans="1:15" ht="12.75" customHeight="1">
      <c r="A22" s="203"/>
      <c r="B22" s="203"/>
      <c r="C22" s="203"/>
      <c r="D22" s="748" t="s">
        <v>1021</v>
      </c>
      <c r="E22" s="748"/>
      <c r="F22" s="748"/>
      <c r="G22" s="748"/>
      <c r="J22" s="204"/>
      <c r="K22" s="748" t="s">
        <v>1024</v>
      </c>
      <c r="L22" s="748"/>
      <c r="M22" s="748"/>
      <c r="N22" s="748"/>
      <c r="O22" s="217"/>
    </row>
    <row r="23" spans="1:15" ht="12.75" customHeight="1">
      <c r="A23" s="203"/>
      <c r="B23" s="203"/>
      <c r="C23" s="203"/>
      <c r="D23" s="748" t="s">
        <v>1022</v>
      </c>
      <c r="E23" s="748"/>
      <c r="F23" s="748"/>
      <c r="G23" s="748"/>
      <c r="J23" s="217"/>
      <c r="K23" s="748" t="s">
        <v>1025</v>
      </c>
      <c r="L23" s="748"/>
      <c r="M23" s="748"/>
      <c r="N23" s="748"/>
      <c r="O23" s="217"/>
    </row>
    <row r="24" spans="1:15" ht="12.75">
      <c r="A24" s="203" t="s">
        <v>12</v>
      </c>
      <c r="C24" s="203"/>
      <c r="D24" s="735" t="s">
        <v>1023</v>
      </c>
      <c r="E24" s="735"/>
      <c r="F24" s="735"/>
      <c r="G24" s="735"/>
      <c r="J24" s="217"/>
      <c r="K24" s="735" t="s">
        <v>1023</v>
      </c>
      <c r="L24" s="735"/>
      <c r="M24" s="735"/>
      <c r="N24" s="735"/>
      <c r="O24" s="208"/>
    </row>
  </sheetData>
  <sheetProtection/>
  <mergeCells count="22">
    <mergeCell ref="A1:N1"/>
    <mergeCell ref="A2:O2"/>
    <mergeCell ref="M5:O5"/>
    <mergeCell ref="A6:A7"/>
    <mergeCell ref="B6:B7"/>
    <mergeCell ref="C6:C7"/>
    <mergeCell ref="D6:D7"/>
    <mergeCell ref="E6:E7"/>
    <mergeCell ref="A4:O4"/>
    <mergeCell ref="F6:F7"/>
    <mergeCell ref="D9:D12"/>
    <mergeCell ref="G6:G7"/>
    <mergeCell ref="H6:I6"/>
    <mergeCell ref="J6:K6"/>
    <mergeCell ref="L6:M6"/>
    <mergeCell ref="N6:O6"/>
    <mergeCell ref="D22:G22"/>
    <mergeCell ref="K22:N22"/>
    <mergeCell ref="D23:G23"/>
    <mergeCell ref="K23:N23"/>
    <mergeCell ref="D24:G24"/>
    <mergeCell ref="K24:N24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K34"/>
  <sheetViews>
    <sheetView zoomScale="90" zoomScaleNormal="90" zoomScaleSheetLayoutView="86" zoomScalePageLayoutView="0" workbookViewId="0" topLeftCell="C10">
      <selection activeCell="E33" sqref="E33"/>
    </sheetView>
  </sheetViews>
  <sheetFormatPr defaultColWidth="8.8515625" defaultRowHeight="12.75"/>
  <cols>
    <col min="1" max="1" width="4.8515625" style="608" customWidth="1"/>
    <col min="2" max="2" width="19.57421875" style="608" customWidth="1"/>
    <col min="3" max="3" width="11.140625" style="608" customWidth="1"/>
    <col min="4" max="5" width="9.57421875" style="608" customWidth="1"/>
    <col min="6" max="6" width="10.57421875" style="608" customWidth="1"/>
    <col min="7" max="7" width="9.7109375" style="608" customWidth="1"/>
    <col min="8" max="8" width="9.00390625" style="608" customWidth="1"/>
    <col min="9" max="9" width="8.421875" style="608" customWidth="1"/>
    <col min="10" max="10" width="10.421875" style="608" customWidth="1"/>
    <col min="11" max="11" width="9.8515625" style="608" customWidth="1"/>
    <col min="12" max="12" width="10.8515625" style="608" bestFit="1" customWidth="1"/>
    <col min="13" max="13" width="11.421875" style="608" customWidth="1"/>
    <col min="14" max="14" width="9.140625" style="608" customWidth="1"/>
    <col min="15" max="15" width="11.00390625" style="608" customWidth="1"/>
    <col min="16" max="16" width="10.140625" style="608" customWidth="1"/>
    <col min="17" max="17" width="11.28125" style="608" customWidth="1"/>
    <col min="18" max="19" width="11.421875" style="608" customWidth="1"/>
    <col min="20" max="20" width="9.8515625" style="608" customWidth="1"/>
    <col min="21" max="21" width="10.57421875" style="608" customWidth="1"/>
    <col min="22" max="22" width="9.7109375" style="608" customWidth="1"/>
    <col min="23" max="27" width="8.8515625" style="608" customWidth="1"/>
    <col min="28" max="33" width="14.00390625" style="608" customWidth="1"/>
    <col min="34" max="34" width="8.8515625" style="608" customWidth="1"/>
    <col min="35" max="35" width="12.8515625" style="608" customWidth="1"/>
    <col min="36" max="16384" width="8.8515625" style="608" customWidth="1"/>
  </cols>
  <sheetData>
    <row r="2" spans="7:20" ht="12.75">
      <c r="G2" s="749"/>
      <c r="H2" s="749"/>
      <c r="I2" s="749"/>
      <c r="J2" s="749"/>
      <c r="K2" s="749"/>
      <c r="L2" s="749"/>
      <c r="M2" s="749"/>
      <c r="N2" s="749"/>
      <c r="O2" s="749"/>
      <c r="P2" s="609"/>
      <c r="Q2" s="609"/>
      <c r="R2" s="609"/>
      <c r="T2" s="610" t="s">
        <v>59</v>
      </c>
    </row>
    <row r="3" spans="1:21" ht="15">
      <c r="A3" s="772" t="s">
        <v>57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  <c r="O3" s="772"/>
      <c r="P3" s="772"/>
      <c r="Q3" s="772"/>
      <c r="R3" s="772"/>
      <c r="S3" s="772"/>
      <c r="T3" s="772"/>
      <c r="U3" s="772"/>
    </row>
    <row r="4" spans="1:245" ht="15.75">
      <c r="A4" s="773" t="s">
        <v>656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611"/>
      <c r="W4" s="611"/>
      <c r="X4" s="611"/>
      <c r="Y4" s="611"/>
      <c r="Z4" s="611"/>
      <c r="AA4" s="611"/>
      <c r="AB4" s="611"/>
      <c r="AC4" s="611"/>
      <c r="AD4" s="611"/>
      <c r="AE4" s="611"/>
      <c r="AF4" s="611"/>
      <c r="AG4" s="611"/>
      <c r="AH4" s="611"/>
      <c r="AI4" s="611"/>
      <c r="AJ4" s="611"/>
      <c r="AK4" s="611"/>
      <c r="AL4" s="611"/>
      <c r="AM4" s="611"/>
      <c r="AN4" s="611"/>
      <c r="AO4" s="611"/>
      <c r="AP4" s="611"/>
      <c r="AQ4" s="611"/>
      <c r="AR4" s="611"/>
      <c r="AS4" s="611"/>
      <c r="AT4" s="611"/>
      <c r="AU4" s="611"/>
      <c r="AV4" s="611"/>
      <c r="AW4" s="611"/>
      <c r="AX4" s="611"/>
      <c r="AY4" s="611"/>
      <c r="AZ4" s="611"/>
      <c r="BA4" s="611"/>
      <c r="BB4" s="611"/>
      <c r="BC4" s="611"/>
      <c r="BD4" s="611"/>
      <c r="BE4" s="611"/>
      <c r="BF4" s="611"/>
      <c r="BG4" s="611"/>
      <c r="BH4" s="611"/>
      <c r="BI4" s="611"/>
      <c r="BJ4" s="611"/>
      <c r="BK4" s="611"/>
      <c r="BL4" s="611"/>
      <c r="BM4" s="611"/>
      <c r="BN4" s="611"/>
      <c r="BO4" s="611"/>
      <c r="BP4" s="611"/>
      <c r="BQ4" s="611"/>
      <c r="BR4" s="611"/>
      <c r="BS4" s="611"/>
      <c r="BT4" s="611"/>
      <c r="BU4" s="611"/>
      <c r="BV4" s="611"/>
      <c r="BW4" s="611"/>
      <c r="BX4" s="611"/>
      <c r="BY4" s="611"/>
      <c r="BZ4" s="611"/>
      <c r="CA4" s="611"/>
      <c r="CB4" s="611"/>
      <c r="CC4" s="611"/>
      <c r="CD4" s="611"/>
      <c r="CE4" s="611"/>
      <c r="CF4" s="611"/>
      <c r="CG4" s="611"/>
      <c r="CH4" s="611"/>
      <c r="CI4" s="611"/>
      <c r="CJ4" s="611"/>
      <c r="CK4" s="611"/>
      <c r="CL4" s="611"/>
      <c r="CM4" s="611"/>
      <c r="CN4" s="611"/>
      <c r="CO4" s="611"/>
      <c r="CP4" s="611"/>
      <c r="CQ4" s="611"/>
      <c r="CR4" s="611"/>
      <c r="CS4" s="611"/>
      <c r="CT4" s="611"/>
      <c r="CU4" s="611"/>
      <c r="CV4" s="611"/>
      <c r="CW4" s="611"/>
      <c r="CX4" s="611"/>
      <c r="CY4" s="611"/>
      <c r="CZ4" s="611"/>
      <c r="DA4" s="611"/>
      <c r="DB4" s="611"/>
      <c r="DC4" s="611"/>
      <c r="DD4" s="611"/>
      <c r="DE4" s="611"/>
      <c r="DF4" s="611"/>
      <c r="DG4" s="611"/>
      <c r="DH4" s="611"/>
      <c r="DI4" s="611"/>
      <c r="DJ4" s="611"/>
      <c r="DK4" s="611"/>
      <c r="DL4" s="611"/>
      <c r="DM4" s="611"/>
      <c r="DN4" s="611"/>
      <c r="DO4" s="611"/>
      <c r="DP4" s="611"/>
      <c r="DQ4" s="611"/>
      <c r="DR4" s="611"/>
      <c r="DS4" s="611"/>
      <c r="DT4" s="611"/>
      <c r="DU4" s="611"/>
      <c r="DV4" s="611"/>
      <c r="DW4" s="611"/>
      <c r="DX4" s="611"/>
      <c r="DY4" s="611"/>
      <c r="DZ4" s="611"/>
      <c r="EA4" s="611"/>
      <c r="EB4" s="611"/>
      <c r="EC4" s="611"/>
      <c r="ED4" s="611"/>
      <c r="EE4" s="611"/>
      <c r="EF4" s="611"/>
      <c r="EG4" s="611"/>
      <c r="EH4" s="611"/>
      <c r="EI4" s="611"/>
      <c r="EJ4" s="611"/>
      <c r="EK4" s="611"/>
      <c r="EL4" s="611"/>
      <c r="EM4" s="611"/>
      <c r="EN4" s="611"/>
      <c r="EO4" s="611"/>
      <c r="EP4" s="611"/>
      <c r="EQ4" s="611"/>
      <c r="ER4" s="611"/>
      <c r="ES4" s="611"/>
      <c r="ET4" s="611"/>
      <c r="EU4" s="611"/>
      <c r="EV4" s="611"/>
      <c r="EW4" s="611"/>
      <c r="EX4" s="611"/>
      <c r="EY4" s="611"/>
      <c r="EZ4" s="611"/>
      <c r="FA4" s="611"/>
      <c r="FB4" s="611"/>
      <c r="FC4" s="611"/>
      <c r="FD4" s="611"/>
      <c r="FE4" s="611"/>
      <c r="FF4" s="611"/>
      <c r="FG4" s="611"/>
      <c r="FH4" s="611"/>
      <c r="FI4" s="611"/>
      <c r="FJ4" s="611"/>
      <c r="FK4" s="611"/>
      <c r="FL4" s="611"/>
      <c r="FM4" s="611"/>
      <c r="FN4" s="611"/>
      <c r="FO4" s="611"/>
      <c r="FP4" s="611"/>
      <c r="FQ4" s="611"/>
      <c r="FR4" s="611"/>
      <c r="FS4" s="611"/>
      <c r="FT4" s="611"/>
      <c r="FU4" s="611"/>
      <c r="FV4" s="611"/>
      <c r="FW4" s="611"/>
      <c r="FX4" s="611"/>
      <c r="FY4" s="611"/>
      <c r="FZ4" s="611"/>
      <c r="GA4" s="611"/>
      <c r="GB4" s="611"/>
      <c r="GC4" s="611"/>
      <c r="GD4" s="611"/>
      <c r="GE4" s="611"/>
      <c r="GF4" s="611"/>
      <c r="GG4" s="611"/>
      <c r="GH4" s="611"/>
      <c r="GI4" s="611"/>
      <c r="GJ4" s="611"/>
      <c r="GK4" s="611"/>
      <c r="GL4" s="611"/>
      <c r="GM4" s="611"/>
      <c r="GN4" s="611"/>
      <c r="GO4" s="611"/>
      <c r="GP4" s="611"/>
      <c r="GQ4" s="611"/>
      <c r="GR4" s="611"/>
      <c r="GS4" s="611"/>
      <c r="GT4" s="611"/>
      <c r="GU4" s="611"/>
      <c r="GV4" s="611"/>
      <c r="GW4" s="611"/>
      <c r="GX4" s="611"/>
      <c r="GY4" s="611"/>
      <c r="GZ4" s="611"/>
      <c r="HA4" s="611"/>
      <c r="HB4" s="611"/>
      <c r="HC4" s="611"/>
      <c r="HD4" s="611"/>
      <c r="HE4" s="611"/>
      <c r="HF4" s="611"/>
      <c r="HG4" s="611"/>
      <c r="HH4" s="611"/>
      <c r="HI4" s="611"/>
      <c r="HJ4" s="611"/>
      <c r="HK4" s="611"/>
      <c r="HL4" s="611"/>
      <c r="HM4" s="611"/>
      <c r="HN4" s="611"/>
      <c r="HO4" s="611"/>
      <c r="HP4" s="611"/>
      <c r="HQ4" s="611"/>
      <c r="HR4" s="611"/>
      <c r="HS4" s="611"/>
      <c r="HT4" s="611"/>
      <c r="HU4" s="611"/>
      <c r="HV4" s="611"/>
      <c r="HW4" s="611"/>
      <c r="HX4" s="611"/>
      <c r="HY4" s="611"/>
      <c r="HZ4" s="611"/>
      <c r="IA4" s="611"/>
      <c r="IB4" s="611"/>
      <c r="IC4" s="611"/>
      <c r="ID4" s="611"/>
      <c r="IE4" s="611"/>
      <c r="IF4" s="611"/>
      <c r="IG4" s="611"/>
      <c r="IH4" s="611"/>
      <c r="II4" s="611"/>
      <c r="IJ4" s="611"/>
      <c r="IK4" s="611"/>
    </row>
    <row r="6" spans="1:21" ht="15">
      <c r="A6" s="774" t="s">
        <v>658</v>
      </c>
      <c r="B6" s="774"/>
      <c r="C6" s="774"/>
      <c r="D6" s="774"/>
      <c r="E6" s="774"/>
      <c r="F6" s="774"/>
      <c r="G6" s="774"/>
      <c r="H6" s="774"/>
      <c r="I6" s="774"/>
      <c r="J6" s="774"/>
      <c r="K6" s="774"/>
      <c r="L6" s="774"/>
      <c r="M6" s="774"/>
      <c r="N6" s="774"/>
      <c r="O6" s="774"/>
      <c r="P6" s="774"/>
      <c r="Q6" s="774"/>
      <c r="R6" s="774"/>
      <c r="S6" s="774"/>
      <c r="T6" s="774"/>
      <c r="U6" s="774"/>
    </row>
    <row r="7" spans="1:21" ht="15.75">
      <c r="A7" s="612"/>
      <c r="B7" s="612"/>
      <c r="C7" s="612"/>
      <c r="D7" s="612"/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</row>
    <row r="8" spans="1:21" ht="15.75">
      <c r="A8" s="775" t="s">
        <v>1004</v>
      </c>
      <c r="B8" s="775"/>
      <c r="C8" s="775"/>
      <c r="D8" s="613"/>
      <c r="E8" s="613"/>
      <c r="F8" s="613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</row>
    <row r="9" spans="3:5" ht="12.75">
      <c r="C9" s="614" t="s">
        <v>1005</v>
      </c>
      <c r="D9" s="614"/>
      <c r="E9" s="615"/>
    </row>
    <row r="10" spans="21:245" ht="15">
      <c r="U10" s="756" t="s">
        <v>477</v>
      </c>
      <c r="V10" s="756"/>
      <c r="W10" s="616"/>
      <c r="X10" s="616"/>
      <c r="Y10" s="616"/>
      <c r="Z10" s="616"/>
      <c r="AA10" s="616"/>
      <c r="AB10" s="750"/>
      <c r="AC10" s="750"/>
      <c r="AD10" s="750"/>
      <c r="AE10" s="616"/>
      <c r="AF10" s="616"/>
      <c r="AG10" s="616"/>
      <c r="AH10" s="616"/>
      <c r="AI10" s="616"/>
      <c r="AJ10" s="616"/>
      <c r="AK10" s="616"/>
      <c r="AL10" s="616"/>
      <c r="AM10" s="616"/>
      <c r="AN10" s="616"/>
      <c r="AO10" s="616"/>
      <c r="AP10" s="616"/>
      <c r="AQ10" s="616"/>
      <c r="AR10" s="616"/>
      <c r="AS10" s="616"/>
      <c r="AT10" s="616"/>
      <c r="AU10" s="616"/>
      <c r="AV10" s="616"/>
      <c r="AW10" s="616"/>
      <c r="AX10" s="616"/>
      <c r="AY10" s="616"/>
      <c r="AZ10" s="616"/>
      <c r="BA10" s="616"/>
      <c r="BB10" s="616"/>
      <c r="BC10" s="616"/>
      <c r="BD10" s="616"/>
      <c r="BE10" s="616"/>
      <c r="BF10" s="616"/>
      <c r="BG10" s="616"/>
      <c r="BH10" s="616"/>
      <c r="BI10" s="616"/>
      <c r="BJ10" s="616"/>
      <c r="BK10" s="616"/>
      <c r="BL10" s="616"/>
      <c r="BM10" s="616"/>
      <c r="BN10" s="616"/>
      <c r="BO10" s="616"/>
      <c r="BP10" s="616"/>
      <c r="BQ10" s="616"/>
      <c r="BR10" s="616"/>
      <c r="BS10" s="616"/>
      <c r="BT10" s="616"/>
      <c r="BU10" s="616"/>
      <c r="BV10" s="616"/>
      <c r="BW10" s="616"/>
      <c r="BX10" s="616"/>
      <c r="BY10" s="616"/>
      <c r="BZ10" s="616"/>
      <c r="CA10" s="616"/>
      <c r="CB10" s="616"/>
      <c r="CC10" s="616"/>
      <c r="CD10" s="616"/>
      <c r="CE10" s="616"/>
      <c r="CF10" s="616"/>
      <c r="CG10" s="616"/>
      <c r="CH10" s="616"/>
      <c r="CI10" s="616"/>
      <c r="CJ10" s="616"/>
      <c r="CK10" s="616"/>
      <c r="CL10" s="616"/>
      <c r="CM10" s="616"/>
      <c r="CN10" s="616"/>
      <c r="CO10" s="616"/>
      <c r="CP10" s="616"/>
      <c r="CQ10" s="616"/>
      <c r="CR10" s="616"/>
      <c r="CS10" s="616"/>
      <c r="CT10" s="616"/>
      <c r="CU10" s="616"/>
      <c r="CV10" s="616"/>
      <c r="CW10" s="616"/>
      <c r="CX10" s="616"/>
      <c r="CY10" s="616"/>
      <c r="CZ10" s="616"/>
      <c r="DA10" s="616"/>
      <c r="DB10" s="616"/>
      <c r="DC10" s="616"/>
      <c r="DD10" s="616"/>
      <c r="DE10" s="616"/>
      <c r="DF10" s="616"/>
      <c r="DG10" s="616"/>
      <c r="DH10" s="616"/>
      <c r="DI10" s="616"/>
      <c r="DJ10" s="616"/>
      <c r="DK10" s="616"/>
      <c r="DL10" s="616"/>
      <c r="DM10" s="616"/>
      <c r="DN10" s="616"/>
      <c r="DO10" s="616"/>
      <c r="DP10" s="616"/>
      <c r="DQ10" s="616"/>
      <c r="DR10" s="616"/>
      <c r="DS10" s="616"/>
      <c r="DT10" s="616"/>
      <c r="DU10" s="616"/>
      <c r="DV10" s="616"/>
      <c r="DW10" s="616"/>
      <c r="DX10" s="616"/>
      <c r="DY10" s="616"/>
      <c r="DZ10" s="616"/>
      <c r="EA10" s="616"/>
      <c r="EB10" s="616"/>
      <c r="EC10" s="616"/>
      <c r="ED10" s="616"/>
      <c r="EE10" s="616"/>
      <c r="EF10" s="616"/>
      <c r="EG10" s="616"/>
      <c r="EH10" s="616"/>
      <c r="EI10" s="616"/>
      <c r="EJ10" s="616"/>
      <c r="EK10" s="616"/>
      <c r="EL10" s="616"/>
      <c r="EM10" s="616"/>
      <c r="EN10" s="616"/>
      <c r="EO10" s="616"/>
      <c r="EP10" s="616"/>
      <c r="EQ10" s="616"/>
      <c r="ER10" s="616"/>
      <c r="ES10" s="616"/>
      <c r="ET10" s="616"/>
      <c r="EU10" s="616"/>
      <c r="EV10" s="616"/>
      <c r="EW10" s="616"/>
      <c r="EX10" s="616"/>
      <c r="EY10" s="616"/>
      <c r="EZ10" s="616"/>
      <c r="FA10" s="616"/>
      <c r="FB10" s="616"/>
      <c r="FC10" s="616"/>
      <c r="FD10" s="616"/>
      <c r="FE10" s="616"/>
      <c r="FF10" s="616"/>
      <c r="FG10" s="616"/>
      <c r="FH10" s="616"/>
      <c r="FI10" s="616"/>
      <c r="FJ10" s="616"/>
      <c r="FK10" s="616"/>
      <c r="FL10" s="616"/>
      <c r="FM10" s="616"/>
      <c r="FN10" s="616"/>
      <c r="FO10" s="616"/>
      <c r="FP10" s="616"/>
      <c r="FQ10" s="616"/>
      <c r="FR10" s="616"/>
      <c r="FS10" s="616"/>
      <c r="FT10" s="616"/>
      <c r="FU10" s="616"/>
      <c r="FV10" s="616"/>
      <c r="FW10" s="616"/>
      <c r="FX10" s="616"/>
      <c r="FY10" s="616"/>
      <c r="FZ10" s="616"/>
      <c r="GA10" s="616"/>
      <c r="GB10" s="616"/>
      <c r="GC10" s="616"/>
      <c r="GD10" s="616"/>
      <c r="GE10" s="616"/>
      <c r="GF10" s="616"/>
      <c r="GG10" s="616"/>
      <c r="GH10" s="616"/>
      <c r="GI10" s="616"/>
      <c r="GJ10" s="616"/>
      <c r="GK10" s="616"/>
      <c r="GL10" s="616"/>
      <c r="GM10" s="616"/>
      <c r="GN10" s="616"/>
      <c r="GO10" s="616"/>
      <c r="GP10" s="616"/>
      <c r="GQ10" s="616"/>
      <c r="GR10" s="616"/>
      <c r="GS10" s="616"/>
      <c r="GT10" s="616"/>
      <c r="GU10" s="616"/>
      <c r="GV10" s="616"/>
      <c r="GW10" s="616"/>
      <c r="GX10" s="616"/>
      <c r="GY10" s="616"/>
      <c r="GZ10" s="616"/>
      <c r="HA10" s="616"/>
      <c r="HB10" s="616"/>
      <c r="HC10" s="616"/>
      <c r="HD10" s="616"/>
      <c r="HE10" s="616"/>
      <c r="HF10" s="616"/>
      <c r="HG10" s="616"/>
      <c r="HH10" s="616"/>
      <c r="HI10" s="616"/>
      <c r="HJ10" s="616"/>
      <c r="HK10" s="616"/>
      <c r="HL10" s="616"/>
      <c r="HM10" s="616"/>
      <c r="HN10" s="616"/>
      <c r="HO10" s="616"/>
      <c r="HP10" s="616"/>
      <c r="HQ10" s="616"/>
      <c r="HR10" s="616"/>
      <c r="HS10" s="616"/>
      <c r="HT10" s="616"/>
      <c r="HU10" s="616"/>
      <c r="HV10" s="616"/>
      <c r="HW10" s="616"/>
      <c r="HX10" s="616"/>
      <c r="HY10" s="616"/>
      <c r="HZ10" s="616"/>
      <c r="IA10" s="616"/>
      <c r="IB10" s="616"/>
      <c r="IC10" s="616"/>
      <c r="ID10" s="616"/>
      <c r="IE10" s="616"/>
      <c r="IF10" s="616"/>
      <c r="IG10" s="616"/>
      <c r="IH10" s="616"/>
      <c r="II10" s="616"/>
      <c r="IJ10" s="616"/>
      <c r="IK10" s="616"/>
    </row>
    <row r="11" spans="1:245" ht="12.75" customHeight="1">
      <c r="A11" s="761" t="s">
        <v>2</v>
      </c>
      <c r="B11" s="761" t="s">
        <v>111</v>
      </c>
      <c r="C11" s="763" t="s">
        <v>156</v>
      </c>
      <c r="D11" s="764"/>
      <c r="E11" s="764"/>
      <c r="F11" s="765"/>
      <c r="G11" s="753" t="s">
        <v>825</v>
      </c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5"/>
      <c r="S11" s="757" t="s">
        <v>257</v>
      </c>
      <c r="T11" s="758"/>
      <c r="U11" s="758"/>
      <c r="V11" s="758"/>
      <c r="W11" s="617"/>
      <c r="X11" s="617"/>
      <c r="Y11" s="617"/>
      <c r="Z11" s="617"/>
      <c r="AA11" s="617"/>
      <c r="AB11" s="618"/>
      <c r="AC11" s="619" t="s">
        <v>866</v>
      </c>
      <c r="AD11" s="620"/>
      <c r="AE11" s="619" t="s">
        <v>867</v>
      </c>
      <c r="AF11" s="620"/>
      <c r="AG11" s="619" t="s">
        <v>868</v>
      </c>
      <c r="AH11" s="620"/>
      <c r="AI11" s="619" t="s">
        <v>869</v>
      </c>
      <c r="AJ11" s="620"/>
      <c r="AK11" s="621" t="s">
        <v>19</v>
      </c>
      <c r="AL11" s="618"/>
      <c r="AM11" s="615"/>
      <c r="AN11" s="615"/>
      <c r="AO11" s="615"/>
      <c r="AP11" s="615"/>
      <c r="AQ11" s="615"/>
      <c r="AR11" s="615"/>
      <c r="AS11" s="615"/>
      <c r="AT11" s="615"/>
      <c r="AU11" s="615"/>
      <c r="AV11" s="615"/>
      <c r="AW11" s="615"/>
      <c r="AX11" s="615"/>
      <c r="AY11" s="615"/>
      <c r="AZ11" s="615"/>
      <c r="BA11" s="615"/>
      <c r="BB11" s="615"/>
      <c r="BC11" s="615"/>
      <c r="BD11" s="615"/>
      <c r="BE11" s="615"/>
      <c r="BF11" s="615"/>
      <c r="BG11" s="615"/>
      <c r="BH11" s="615"/>
      <c r="BI11" s="615"/>
      <c r="BJ11" s="615"/>
      <c r="BK11" s="615"/>
      <c r="BL11" s="615"/>
      <c r="BM11" s="615"/>
      <c r="BN11" s="615"/>
      <c r="BO11" s="615"/>
      <c r="BP11" s="615"/>
      <c r="BQ11" s="615"/>
      <c r="BR11" s="615"/>
      <c r="BS11" s="615"/>
      <c r="BT11" s="615"/>
      <c r="BU11" s="615"/>
      <c r="BV11" s="615"/>
      <c r="BW11" s="615"/>
      <c r="BX11" s="615"/>
      <c r="BY11" s="615"/>
      <c r="BZ11" s="615"/>
      <c r="CA11" s="615"/>
      <c r="CB11" s="615"/>
      <c r="CC11" s="615"/>
      <c r="CD11" s="615"/>
      <c r="CE11" s="615"/>
      <c r="CF11" s="615"/>
      <c r="CG11" s="615"/>
      <c r="CH11" s="615"/>
      <c r="CI11" s="615"/>
      <c r="CJ11" s="615"/>
      <c r="CK11" s="615"/>
      <c r="CL11" s="615"/>
      <c r="CM11" s="615"/>
      <c r="CN11" s="615"/>
      <c r="CO11" s="615"/>
      <c r="CP11" s="615"/>
      <c r="CQ11" s="615"/>
      <c r="CR11" s="615"/>
      <c r="CS11" s="615"/>
      <c r="CT11" s="615"/>
      <c r="CU11" s="615"/>
      <c r="CV11" s="615"/>
      <c r="CW11" s="615"/>
      <c r="CX11" s="615"/>
      <c r="CY11" s="615"/>
      <c r="CZ11" s="615"/>
      <c r="DA11" s="615"/>
      <c r="DB11" s="615"/>
      <c r="DC11" s="615"/>
      <c r="DD11" s="615"/>
      <c r="DE11" s="615"/>
      <c r="DF11" s="615"/>
      <c r="DG11" s="615"/>
      <c r="DH11" s="615"/>
      <c r="DI11" s="615"/>
      <c r="DJ11" s="615"/>
      <c r="DK11" s="615"/>
      <c r="DL11" s="615"/>
      <c r="DM11" s="615"/>
      <c r="DN11" s="615"/>
      <c r="DO11" s="615"/>
      <c r="DP11" s="615"/>
      <c r="DQ11" s="615"/>
      <c r="DR11" s="615"/>
      <c r="DS11" s="615"/>
      <c r="DT11" s="615"/>
      <c r="DU11" s="615"/>
      <c r="DV11" s="615"/>
      <c r="DW11" s="615"/>
      <c r="DX11" s="615"/>
      <c r="DY11" s="615"/>
      <c r="DZ11" s="615"/>
      <c r="EA11" s="615"/>
      <c r="EB11" s="615"/>
      <c r="EC11" s="615"/>
      <c r="ED11" s="615"/>
      <c r="EE11" s="615"/>
      <c r="EF11" s="615"/>
      <c r="EG11" s="615"/>
      <c r="EH11" s="615"/>
      <c r="EI11" s="615"/>
      <c r="EJ11" s="615"/>
      <c r="EK11" s="615"/>
      <c r="EL11" s="615"/>
      <c r="EM11" s="615"/>
      <c r="EN11" s="615"/>
      <c r="EO11" s="615"/>
      <c r="EP11" s="615"/>
      <c r="EQ11" s="615"/>
      <c r="ER11" s="615"/>
      <c r="ES11" s="615"/>
      <c r="ET11" s="615"/>
      <c r="EU11" s="615"/>
      <c r="EV11" s="615"/>
      <c r="EW11" s="615"/>
      <c r="EX11" s="615"/>
      <c r="EY11" s="615"/>
      <c r="EZ11" s="615"/>
      <c r="FA11" s="615"/>
      <c r="FB11" s="615"/>
      <c r="FC11" s="615"/>
      <c r="FD11" s="615"/>
      <c r="FE11" s="615"/>
      <c r="FF11" s="615"/>
      <c r="FG11" s="615"/>
      <c r="FH11" s="615"/>
      <c r="FI11" s="615"/>
      <c r="FJ11" s="615"/>
      <c r="FK11" s="615"/>
      <c r="FL11" s="615"/>
      <c r="FM11" s="615"/>
      <c r="FN11" s="615"/>
      <c r="FO11" s="615"/>
      <c r="FP11" s="615"/>
      <c r="FQ11" s="615"/>
      <c r="FR11" s="615"/>
      <c r="FS11" s="615"/>
      <c r="FT11" s="615"/>
      <c r="FU11" s="615"/>
      <c r="FV11" s="615"/>
      <c r="FW11" s="615"/>
      <c r="FX11" s="615"/>
      <c r="FY11" s="615"/>
      <c r="FZ11" s="615"/>
      <c r="GA11" s="615"/>
      <c r="GB11" s="615"/>
      <c r="GC11" s="615"/>
      <c r="GD11" s="615"/>
      <c r="GE11" s="615"/>
      <c r="GF11" s="615"/>
      <c r="GG11" s="615"/>
      <c r="GH11" s="615"/>
      <c r="GI11" s="615"/>
      <c r="GJ11" s="615"/>
      <c r="GK11" s="615"/>
      <c r="GL11" s="615"/>
      <c r="GM11" s="615"/>
      <c r="GN11" s="615"/>
      <c r="GO11" s="615"/>
      <c r="GP11" s="615"/>
      <c r="GQ11" s="615"/>
      <c r="GR11" s="615"/>
      <c r="GS11" s="615"/>
      <c r="GT11" s="615"/>
      <c r="GU11" s="615"/>
      <c r="GV11" s="615"/>
      <c r="GW11" s="615"/>
      <c r="GX11" s="615"/>
      <c r="GY11" s="615"/>
      <c r="GZ11" s="615"/>
      <c r="HA11" s="615"/>
      <c r="HB11" s="615"/>
      <c r="HC11" s="615"/>
      <c r="HD11" s="615"/>
      <c r="HE11" s="615"/>
      <c r="HF11" s="615"/>
      <c r="HG11" s="615"/>
      <c r="HH11" s="615"/>
      <c r="HI11" s="615"/>
      <c r="HJ11" s="615"/>
      <c r="HK11" s="615"/>
      <c r="HL11" s="615"/>
      <c r="HM11" s="615"/>
      <c r="HN11" s="615"/>
      <c r="HO11" s="615"/>
      <c r="HP11" s="615"/>
      <c r="HQ11" s="615"/>
      <c r="HR11" s="615"/>
      <c r="HS11" s="615"/>
      <c r="HT11" s="615"/>
      <c r="HU11" s="615"/>
      <c r="HV11" s="615"/>
      <c r="HW11" s="615"/>
      <c r="HX11" s="615"/>
      <c r="HY11" s="615"/>
      <c r="HZ11" s="615"/>
      <c r="IA11" s="615"/>
      <c r="IB11" s="615"/>
      <c r="IC11" s="615"/>
      <c r="ID11" s="615"/>
      <c r="IE11" s="615"/>
      <c r="IF11" s="615"/>
      <c r="IG11" s="615"/>
      <c r="IH11" s="615"/>
      <c r="II11" s="615"/>
      <c r="IJ11" s="615"/>
      <c r="IK11" s="615"/>
    </row>
    <row r="12" spans="1:245" ht="12.75">
      <c r="A12" s="762"/>
      <c r="B12" s="762"/>
      <c r="C12" s="766"/>
      <c r="D12" s="767"/>
      <c r="E12" s="767"/>
      <c r="F12" s="768"/>
      <c r="G12" s="769" t="s">
        <v>177</v>
      </c>
      <c r="H12" s="770"/>
      <c r="I12" s="770"/>
      <c r="J12" s="771"/>
      <c r="K12" s="769" t="s">
        <v>178</v>
      </c>
      <c r="L12" s="770"/>
      <c r="M12" s="770"/>
      <c r="N12" s="771"/>
      <c r="O12" s="752" t="s">
        <v>19</v>
      </c>
      <c r="P12" s="752"/>
      <c r="Q12" s="752"/>
      <c r="R12" s="752"/>
      <c r="S12" s="759"/>
      <c r="T12" s="760"/>
      <c r="U12" s="760"/>
      <c r="V12" s="760"/>
      <c r="W12" s="617"/>
      <c r="X12" s="617"/>
      <c r="Y12" s="617"/>
      <c r="Z12" s="617"/>
      <c r="AA12" s="617"/>
      <c r="AB12" s="618"/>
      <c r="AC12" s="618" t="s">
        <v>864</v>
      </c>
      <c r="AD12" s="618" t="s">
        <v>865</v>
      </c>
      <c r="AE12" s="618" t="s">
        <v>864</v>
      </c>
      <c r="AF12" s="618" t="s">
        <v>865</v>
      </c>
      <c r="AG12" s="618" t="s">
        <v>864</v>
      </c>
      <c r="AH12" s="618" t="s">
        <v>865</v>
      </c>
      <c r="AI12" s="618" t="s">
        <v>864</v>
      </c>
      <c r="AJ12" s="618" t="s">
        <v>865</v>
      </c>
      <c r="AK12" s="618" t="s">
        <v>864</v>
      </c>
      <c r="AL12" s="618" t="s">
        <v>865</v>
      </c>
      <c r="AM12" s="615"/>
      <c r="AN12" s="615"/>
      <c r="AO12" s="615"/>
      <c r="AP12" s="615"/>
      <c r="AQ12" s="615"/>
      <c r="AR12" s="615"/>
      <c r="AS12" s="615"/>
      <c r="AT12" s="615"/>
      <c r="AU12" s="615"/>
      <c r="AV12" s="615"/>
      <c r="AW12" s="615"/>
      <c r="AX12" s="615"/>
      <c r="AY12" s="615"/>
      <c r="AZ12" s="615"/>
      <c r="BA12" s="615"/>
      <c r="BB12" s="615"/>
      <c r="BC12" s="615"/>
      <c r="BD12" s="615"/>
      <c r="BE12" s="615"/>
      <c r="BF12" s="615"/>
      <c r="BG12" s="615"/>
      <c r="BH12" s="615"/>
      <c r="BI12" s="615"/>
      <c r="BJ12" s="615"/>
      <c r="BK12" s="615"/>
      <c r="BL12" s="615"/>
      <c r="BM12" s="615"/>
      <c r="BN12" s="615"/>
      <c r="BO12" s="615"/>
      <c r="BP12" s="615"/>
      <c r="BQ12" s="615"/>
      <c r="BR12" s="615"/>
      <c r="BS12" s="615"/>
      <c r="BT12" s="615"/>
      <c r="BU12" s="615"/>
      <c r="BV12" s="615"/>
      <c r="BW12" s="615"/>
      <c r="BX12" s="615"/>
      <c r="BY12" s="615"/>
      <c r="BZ12" s="615"/>
      <c r="CA12" s="615"/>
      <c r="CB12" s="615"/>
      <c r="CC12" s="615"/>
      <c r="CD12" s="615"/>
      <c r="CE12" s="615"/>
      <c r="CF12" s="615"/>
      <c r="CG12" s="615"/>
      <c r="CH12" s="615"/>
      <c r="CI12" s="615"/>
      <c r="CJ12" s="615"/>
      <c r="CK12" s="615"/>
      <c r="CL12" s="615"/>
      <c r="CM12" s="615"/>
      <c r="CN12" s="615"/>
      <c r="CO12" s="615"/>
      <c r="CP12" s="615"/>
      <c r="CQ12" s="615"/>
      <c r="CR12" s="615"/>
      <c r="CS12" s="615"/>
      <c r="CT12" s="615"/>
      <c r="CU12" s="615"/>
      <c r="CV12" s="615"/>
      <c r="CW12" s="615"/>
      <c r="CX12" s="615"/>
      <c r="CY12" s="615"/>
      <c r="CZ12" s="615"/>
      <c r="DA12" s="615"/>
      <c r="DB12" s="615"/>
      <c r="DC12" s="615"/>
      <c r="DD12" s="615"/>
      <c r="DE12" s="615"/>
      <c r="DF12" s="615"/>
      <c r="DG12" s="615"/>
      <c r="DH12" s="615"/>
      <c r="DI12" s="615"/>
      <c r="DJ12" s="615"/>
      <c r="DK12" s="615"/>
      <c r="DL12" s="615"/>
      <c r="DM12" s="615"/>
      <c r="DN12" s="615"/>
      <c r="DO12" s="615"/>
      <c r="DP12" s="615"/>
      <c r="DQ12" s="615"/>
      <c r="DR12" s="615"/>
      <c r="DS12" s="615"/>
      <c r="DT12" s="615"/>
      <c r="DU12" s="615"/>
      <c r="DV12" s="615"/>
      <c r="DW12" s="615"/>
      <c r="DX12" s="615"/>
      <c r="DY12" s="615"/>
      <c r="DZ12" s="615"/>
      <c r="EA12" s="615"/>
      <c r="EB12" s="615"/>
      <c r="EC12" s="615"/>
      <c r="ED12" s="615"/>
      <c r="EE12" s="615"/>
      <c r="EF12" s="615"/>
      <c r="EG12" s="615"/>
      <c r="EH12" s="615"/>
      <c r="EI12" s="615"/>
      <c r="EJ12" s="615"/>
      <c r="EK12" s="615"/>
      <c r="EL12" s="615"/>
      <c r="EM12" s="615"/>
      <c r="EN12" s="615"/>
      <c r="EO12" s="615"/>
      <c r="EP12" s="615"/>
      <c r="EQ12" s="615"/>
      <c r="ER12" s="615"/>
      <c r="ES12" s="615"/>
      <c r="ET12" s="615"/>
      <c r="EU12" s="615"/>
      <c r="EV12" s="615"/>
      <c r="EW12" s="615"/>
      <c r="EX12" s="615"/>
      <c r="EY12" s="615"/>
      <c r="EZ12" s="615"/>
      <c r="FA12" s="615"/>
      <c r="FB12" s="615"/>
      <c r="FC12" s="615"/>
      <c r="FD12" s="615"/>
      <c r="FE12" s="615"/>
      <c r="FF12" s="615"/>
      <c r="FG12" s="615"/>
      <c r="FH12" s="615"/>
      <c r="FI12" s="615"/>
      <c r="FJ12" s="615"/>
      <c r="FK12" s="615"/>
      <c r="FL12" s="615"/>
      <c r="FM12" s="615"/>
      <c r="FN12" s="615"/>
      <c r="FO12" s="615"/>
      <c r="FP12" s="615"/>
      <c r="FQ12" s="615"/>
      <c r="FR12" s="615"/>
      <c r="FS12" s="615"/>
      <c r="FT12" s="615"/>
      <c r="FU12" s="615"/>
      <c r="FV12" s="615"/>
      <c r="FW12" s="615"/>
      <c r="FX12" s="615"/>
      <c r="FY12" s="615"/>
      <c r="FZ12" s="615"/>
      <c r="GA12" s="615"/>
      <c r="GB12" s="615"/>
      <c r="GC12" s="615"/>
      <c r="GD12" s="615"/>
      <c r="GE12" s="615"/>
      <c r="GF12" s="615"/>
      <c r="GG12" s="615"/>
      <c r="GH12" s="615"/>
      <c r="GI12" s="615"/>
      <c r="GJ12" s="615"/>
      <c r="GK12" s="615"/>
      <c r="GL12" s="615"/>
      <c r="GM12" s="615"/>
      <c r="GN12" s="615"/>
      <c r="GO12" s="615"/>
      <c r="GP12" s="615"/>
      <c r="GQ12" s="615"/>
      <c r="GR12" s="615"/>
      <c r="GS12" s="615"/>
      <c r="GT12" s="615"/>
      <c r="GU12" s="615"/>
      <c r="GV12" s="615"/>
      <c r="GW12" s="615"/>
      <c r="GX12" s="615"/>
      <c r="GY12" s="615"/>
      <c r="GZ12" s="615"/>
      <c r="HA12" s="615"/>
      <c r="HB12" s="615"/>
      <c r="HC12" s="615"/>
      <c r="HD12" s="615"/>
      <c r="HE12" s="615"/>
      <c r="HF12" s="615"/>
      <c r="HG12" s="615"/>
      <c r="HH12" s="615"/>
      <c r="HI12" s="615"/>
      <c r="HJ12" s="615"/>
      <c r="HK12" s="615"/>
      <c r="HL12" s="615"/>
      <c r="HM12" s="615"/>
      <c r="HN12" s="615"/>
      <c r="HO12" s="615"/>
      <c r="HP12" s="615"/>
      <c r="HQ12" s="615"/>
      <c r="HR12" s="615"/>
      <c r="HS12" s="615"/>
      <c r="HT12" s="615"/>
      <c r="HU12" s="615"/>
      <c r="HV12" s="615"/>
      <c r="HW12" s="615"/>
      <c r="HX12" s="615"/>
      <c r="HY12" s="615"/>
      <c r="HZ12" s="615"/>
      <c r="IA12" s="615"/>
      <c r="IB12" s="615"/>
      <c r="IC12" s="615"/>
      <c r="ID12" s="615"/>
      <c r="IE12" s="615"/>
      <c r="IF12" s="615"/>
      <c r="IG12" s="615"/>
      <c r="IH12" s="615"/>
      <c r="II12" s="615"/>
      <c r="IJ12" s="615"/>
      <c r="IK12" s="615"/>
    </row>
    <row r="13" spans="1:245" ht="38.25">
      <c r="A13" s="622"/>
      <c r="B13" s="622"/>
      <c r="C13" s="623" t="s">
        <v>258</v>
      </c>
      <c r="D13" s="623" t="s">
        <v>259</v>
      </c>
      <c r="E13" s="623" t="s">
        <v>260</v>
      </c>
      <c r="F13" s="623" t="s">
        <v>90</v>
      </c>
      <c r="G13" s="623" t="s">
        <v>258</v>
      </c>
      <c r="H13" s="623" t="s">
        <v>259</v>
      </c>
      <c r="I13" s="623" t="s">
        <v>260</v>
      </c>
      <c r="J13" s="623" t="s">
        <v>19</v>
      </c>
      <c r="K13" s="623" t="s">
        <v>258</v>
      </c>
      <c r="L13" s="623" t="s">
        <v>259</v>
      </c>
      <c r="M13" s="623" t="s">
        <v>260</v>
      </c>
      <c r="N13" s="623" t="s">
        <v>90</v>
      </c>
      <c r="O13" s="623" t="s">
        <v>258</v>
      </c>
      <c r="P13" s="623" t="s">
        <v>259</v>
      </c>
      <c r="Q13" s="623" t="s">
        <v>260</v>
      </c>
      <c r="R13" s="623" t="s">
        <v>19</v>
      </c>
      <c r="S13" s="624" t="s">
        <v>473</v>
      </c>
      <c r="T13" s="624" t="s">
        <v>474</v>
      </c>
      <c r="U13" s="624" t="s">
        <v>475</v>
      </c>
      <c r="V13" s="625" t="s">
        <v>476</v>
      </c>
      <c r="W13" s="617"/>
      <c r="X13" s="617"/>
      <c r="Y13" s="617"/>
      <c r="Z13" s="617"/>
      <c r="AA13" s="617"/>
      <c r="AB13" s="621" t="s">
        <v>862</v>
      </c>
      <c r="AC13" s="618">
        <v>2524.49</v>
      </c>
      <c r="AD13" s="618"/>
      <c r="AE13" s="618">
        <v>1871.4</v>
      </c>
      <c r="AF13" s="618"/>
      <c r="AG13" s="618">
        <v>1465.29</v>
      </c>
      <c r="AH13" s="618"/>
      <c r="AI13" s="618">
        <v>1465.3</v>
      </c>
      <c r="AJ13" s="618"/>
      <c r="AK13" s="618">
        <f>AC13+AE13+AG13+AI13</f>
        <v>7326.48</v>
      </c>
      <c r="AL13" s="618">
        <f>AD13+AF13+AH13+AJ13</f>
        <v>0</v>
      </c>
      <c r="AM13" s="615"/>
      <c r="AN13" s="615"/>
      <c r="AO13" s="615"/>
      <c r="AP13" s="615"/>
      <c r="AQ13" s="615"/>
      <c r="AR13" s="615"/>
      <c r="AS13" s="615"/>
      <c r="AT13" s="615"/>
      <c r="AU13" s="615"/>
      <c r="AV13" s="615"/>
      <c r="AW13" s="615"/>
      <c r="AX13" s="615"/>
      <c r="AY13" s="615"/>
      <c r="AZ13" s="615"/>
      <c r="BA13" s="615"/>
      <c r="BB13" s="615"/>
      <c r="BC13" s="615"/>
      <c r="BD13" s="615"/>
      <c r="BE13" s="615"/>
      <c r="BF13" s="615"/>
      <c r="BG13" s="615"/>
      <c r="BH13" s="615"/>
      <c r="BI13" s="615"/>
      <c r="BJ13" s="615"/>
      <c r="BK13" s="615"/>
      <c r="BL13" s="615"/>
      <c r="BM13" s="615"/>
      <c r="BN13" s="615"/>
      <c r="BO13" s="615"/>
      <c r="BP13" s="615"/>
      <c r="BQ13" s="615"/>
      <c r="BR13" s="615"/>
      <c r="BS13" s="615"/>
      <c r="BT13" s="615"/>
      <c r="BU13" s="615"/>
      <c r="BV13" s="615"/>
      <c r="BW13" s="615"/>
      <c r="BX13" s="615"/>
      <c r="BY13" s="615"/>
      <c r="BZ13" s="615"/>
      <c r="CA13" s="615"/>
      <c r="CB13" s="615"/>
      <c r="CC13" s="615"/>
      <c r="CD13" s="615"/>
      <c r="CE13" s="615"/>
      <c r="CF13" s="615"/>
      <c r="CG13" s="615"/>
      <c r="CH13" s="615"/>
      <c r="CI13" s="615"/>
      <c r="CJ13" s="615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  <c r="CU13" s="615"/>
      <c r="CV13" s="615"/>
      <c r="CW13" s="615"/>
      <c r="CX13" s="615"/>
      <c r="CY13" s="615"/>
      <c r="CZ13" s="615"/>
      <c r="DA13" s="615"/>
      <c r="DB13" s="615"/>
      <c r="DC13" s="615"/>
      <c r="DD13" s="615"/>
      <c r="DE13" s="615"/>
      <c r="DF13" s="615"/>
      <c r="DG13" s="615"/>
      <c r="DH13" s="615"/>
      <c r="DI13" s="615"/>
      <c r="DJ13" s="615"/>
      <c r="DK13" s="615"/>
      <c r="DL13" s="615"/>
      <c r="DM13" s="615"/>
      <c r="DN13" s="615"/>
      <c r="DO13" s="615"/>
      <c r="DP13" s="615"/>
      <c r="DQ13" s="615"/>
      <c r="DR13" s="615"/>
      <c r="DS13" s="615"/>
      <c r="DT13" s="615"/>
      <c r="DU13" s="615"/>
      <c r="DV13" s="615"/>
      <c r="DW13" s="615"/>
      <c r="DX13" s="615"/>
      <c r="DY13" s="615"/>
      <c r="DZ13" s="615"/>
      <c r="EA13" s="615"/>
      <c r="EB13" s="615"/>
      <c r="EC13" s="615"/>
      <c r="ED13" s="615"/>
      <c r="EE13" s="615"/>
      <c r="EF13" s="615"/>
      <c r="EG13" s="615"/>
      <c r="EH13" s="615"/>
      <c r="EI13" s="615"/>
      <c r="EJ13" s="615"/>
      <c r="EK13" s="615"/>
      <c r="EL13" s="615"/>
      <c r="EM13" s="615"/>
      <c r="EN13" s="615"/>
      <c r="EO13" s="615"/>
      <c r="EP13" s="615"/>
      <c r="EQ13" s="615"/>
      <c r="ER13" s="615"/>
      <c r="ES13" s="615"/>
      <c r="ET13" s="615"/>
      <c r="EU13" s="615"/>
      <c r="EV13" s="615"/>
      <c r="EW13" s="615"/>
      <c r="EX13" s="615"/>
      <c r="EY13" s="615"/>
      <c r="EZ13" s="615"/>
      <c r="FA13" s="615"/>
      <c r="FB13" s="615"/>
      <c r="FC13" s="615"/>
      <c r="FD13" s="615"/>
      <c r="FE13" s="615"/>
      <c r="FF13" s="615"/>
      <c r="FG13" s="615"/>
      <c r="FH13" s="615"/>
      <c r="FI13" s="615"/>
      <c r="FJ13" s="615"/>
      <c r="FK13" s="615"/>
      <c r="FL13" s="615"/>
      <c r="FM13" s="615"/>
      <c r="FN13" s="615"/>
      <c r="FO13" s="615"/>
      <c r="FP13" s="615"/>
      <c r="FQ13" s="615"/>
      <c r="FR13" s="615"/>
      <c r="FS13" s="615"/>
      <c r="FT13" s="615"/>
      <c r="FU13" s="615"/>
      <c r="FV13" s="615"/>
      <c r="FW13" s="615"/>
      <c r="FX13" s="615"/>
      <c r="FY13" s="615"/>
      <c r="FZ13" s="615"/>
      <c r="GA13" s="615"/>
      <c r="GB13" s="615"/>
      <c r="GC13" s="615"/>
      <c r="GD13" s="615"/>
      <c r="GE13" s="615"/>
      <c r="GF13" s="615"/>
      <c r="GG13" s="615"/>
      <c r="GH13" s="615"/>
      <c r="GI13" s="615"/>
      <c r="GJ13" s="615"/>
      <c r="GK13" s="615"/>
      <c r="GL13" s="615"/>
      <c r="GM13" s="615"/>
      <c r="GN13" s="615"/>
      <c r="GO13" s="615"/>
      <c r="GP13" s="615"/>
      <c r="GQ13" s="615"/>
      <c r="GR13" s="615"/>
      <c r="GS13" s="615"/>
      <c r="GT13" s="615"/>
      <c r="GU13" s="615"/>
      <c r="GV13" s="615"/>
      <c r="GW13" s="615"/>
      <c r="GX13" s="615"/>
      <c r="GY13" s="615"/>
      <c r="GZ13" s="615"/>
      <c r="HA13" s="615"/>
      <c r="HB13" s="615"/>
      <c r="HC13" s="615"/>
      <c r="HD13" s="615"/>
      <c r="HE13" s="615"/>
      <c r="HF13" s="615"/>
      <c r="HG13" s="615"/>
      <c r="HH13" s="615"/>
      <c r="HI13" s="615"/>
      <c r="HJ13" s="615"/>
      <c r="HK13" s="615"/>
      <c r="HL13" s="615"/>
      <c r="HM13" s="615"/>
      <c r="HN13" s="615"/>
      <c r="HO13" s="615"/>
      <c r="HP13" s="615"/>
      <c r="HQ13" s="615"/>
      <c r="HR13" s="615"/>
      <c r="HS13" s="615"/>
      <c r="HT13" s="615"/>
      <c r="HU13" s="615"/>
      <c r="HV13" s="615"/>
      <c r="HW13" s="615"/>
      <c r="HX13" s="615"/>
      <c r="HY13" s="615"/>
      <c r="HZ13" s="615"/>
      <c r="IA13" s="615"/>
      <c r="IB13" s="615"/>
      <c r="IC13" s="615"/>
      <c r="ID13" s="615"/>
      <c r="IE13" s="615"/>
      <c r="IF13" s="615"/>
      <c r="IG13" s="615"/>
      <c r="IH13" s="615"/>
      <c r="II13" s="615"/>
      <c r="IJ13" s="615"/>
      <c r="IK13" s="615"/>
    </row>
    <row r="14" spans="1:245" ht="12.75">
      <c r="A14" s="626">
        <v>1</v>
      </c>
      <c r="B14" s="627">
        <v>2</v>
      </c>
      <c r="C14" s="626">
        <v>3</v>
      </c>
      <c r="D14" s="626">
        <v>4</v>
      </c>
      <c r="E14" s="627">
        <v>5</v>
      </c>
      <c r="F14" s="626">
        <v>6</v>
      </c>
      <c r="G14" s="626">
        <v>7</v>
      </c>
      <c r="H14" s="627">
        <v>8</v>
      </c>
      <c r="I14" s="626">
        <v>9</v>
      </c>
      <c r="J14" s="626">
        <v>10</v>
      </c>
      <c r="K14" s="627">
        <v>11</v>
      </c>
      <c r="L14" s="626">
        <v>12</v>
      </c>
      <c r="M14" s="626">
        <v>13</v>
      </c>
      <c r="N14" s="627">
        <v>14</v>
      </c>
      <c r="O14" s="626">
        <v>15</v>
      </c>
      <c r="P14" s="626">
        <v>16</v>
      </c>
      <c r="Q14" s="627">
        <v>17</v>
      </c>
      <c r="R14" s="626">
        <v>18</v>
      </c>
      <c r="S14" s="626">
        <v>19</v>
      </c>
      <c r="T14" s="627">
        <v>20</v>
      </c>
      <c r="U14" s="626">
        <v>21</v>
      </c>
      <c r="V14" s="626">
        <v>22</v>
      </c>
      <c r="W14" s="628"/>
      <c r="X14" s="628"/>
      <c r="Y14" s="628"/>
      <c r="Z14" s="628"/>
      <c r="AA14" s="628"/>
      <c r="AB14" s="621" t="s">
        <v>863</v>
      </c>
      <c r="AC14" s="618">
        <v>3247.75</v>
      </c>
      <c r="AD14" s="618">
        <v>2165.17</v>
      </c>
      <c r="AE14" s="618">
        <v>2630.04</v>
      </c>
      <c r="AF14" s="618">
        <v>1753.36</v>
      </c>
      <c r="AG14" s="618">
        <v>2104.03</v>
      </c>
      <c r="AH14" s="618">
        <v>1402.69</v>
      </c>
      <c r="AI14" s="618">
        <v>2104.03</v>
      </c>
      <c r="AJ14" s="618">
        <v>1402.69</v>
      </c>
      <c r="AK14" s="618">
        <f aca="true" t="shared" si="0" ref="AK14:AK31">AC14+AE14+AG14+AI14</f>
        <v>10085.85</v>
      </c>
      <c r="AL14" s="618">
        <f aca="true" t="shared" si="1" ref="AL14:AL31">AD14+AF14+AH14+AJ14</f>
        <v>6723.91</v>
      </c>
      <c r="AM14" s="629"/>
      <c r="AN14" s="629"/>
      <c r="AO14" s="629"/>
      <c r="AP14" s="629"/>
      <c r="AQ14" s="629"/>
      <c r="AR14" s="629"/>
      <c r="AS14" s="629"/>
      <c r="AT14" s="629"/>
      <c r="AU14" s="629"/>
      <c r="AV14" s="629"/>
      <c r="AW14" s="629"/>
      <c r="AX14" s="629"/>
      <c r="AY14" s="629"/>
      <c r="AZ14" s="629"/>
      <c r="BA14" s="629"/>
      <c r="BB14" s="629"/>
      <c r="BC14" s="629"/>
      <c r="BD14" s="629"/>
      <c r="BE14" s="629"/>
      <c r="BF14" s="629"/>
      <c r="BG14" s="629"/>
      <c r="BH14" s="629"/>
      <c r="BI14" s="629"/>
      <c r="BJ14" s="629"/>
      <c r="BK14" s="629"/>
      <c r="BL14" s="629"/>
      <c r="BM14" s="629"/>
      <c r="BN14" s="629"/>
      <c r="BO14" s="629"/>
      <c r="BP14" s="629"/>
      <c r="BQ14" s="629"/>
      <c r="BR14" s="629"/>
      <c r="BS14" s="629"/>
      <c r="BT14" s="629"/>
      <c r="BU14" s="629"/>
      <c r="BV14" s="629"/>
      <c r="BW14" s="629"/>
      <c r="BX14" s="629"/>
      <c r="BY14" s="629"/>
      <c r="BZ14" s="629"/>
      <c r="CA14" s="629"/>
      <c r="CB14" s="629"/>
      <c r="CC14" s="629"/>
      <c r="CD14" s="629"/>
      <c r="CE14" s="629"/>
      <c r="CF14" s="629"/>
      <c r="CG14" s="629"/>
      <c r="CH14" s="629"/>
      <c r="CI14" s="629"/>
      <c r="CJ14" s="629"/>
      <c r="CK14" s="629"/>
      <c r="CL14" s="629"/>
      <c r="CM14" s="629"/>
      <c r="CN14" s="629"/>
      <c r="CO14" s="629"/>
      <c r="CP14" s="629"/>
      <c r="CQ14" s="629"/>
      <c r="CR14" s="629"/>
      <c r="CS14" s="629"/>
      <c r="CT14" s="629"/>
      <c r="CU14" s="629"/>
      <c r="CV14" s="629"/>
      <c r="CW14" s="629"/>
      <c r="CX14" s="629"/>
      <c r="CY14" s="629"/>
      <c r="CZ14" s="629"/>
      <c r="DA14" s="629"/>
      <c r="DB14" s="629"/>
      <c r="DC14" s="629"/>
      <c r="DD14" s="629"/>
      <c r="DE14" s="629"/>
      <c r="DF14" s="629"/>
      <c r="DG14" s="629"/>
      <c r="DH14" s="629"/>
      <c r="DI14" s="629"/>
      <c r="DJ14" s="629"/>
      <c r="DK14" s="629"/>
      <c r="DL14" s="629"/>
      <c r="DM14" s="629"/>
      <c r="DN14" s="629"/>
      <c r="DO14" s="629"/>
      <c r="DP14" s="629"/>
      <c r="DQ14" s="629"/>
      <c r="DR14" s="629"/>
      <c r="DS14" s="629"/>
      <c r="DT14" s="629"/>
      <c r="DU14" s="629"/>
      <c r="DV14" s="629"/>
      <c r="DW14" s="629"/>
      <c r="DX14" s="629"/>
      <c r="DY14" s="629"/>
      <c r="DZ14" s="629"/>
      <c r="EA14" s="629"/>
      <c r="EB14" s="629"/>
      <c r="EC14" s="629"/>
      <c r="ED14" s="629"/>
      <c r="EE14" s="629"/>
      <c r="EF14" s="629"/>
      <c r="EG14" s="629"/>
      <c r="EH14" s="629"/>
      <c r="EI14" s="629"/>
      <c r="EJ14" s="629"/>
      <c r="EK14" s="629"/>
      <c r="EL14" s="629"/>
      <c r="EM14" s="629"/>
      <c r="EN14" s="629"/>
      <c r="EO14" s="629"/>
      <c r="EP14" s="629"/>
      <c r="EQ14" s="629"/>
      <c r="ER14" s="629"/>
      <c r="ES14" s="629"/>
      <c r="ET14" s="629"/>
      <c r="EU14" s="629"/>
      <c r="EV14" s="629"/>
      <c r="EW14" s="629"/>
      <c r="EX14" s="629"/>
      <c r="EY14" s="629"/>
      <c r="EZ14" s="629"/>
      <c r="FA14" s="629"/>
      <c r="FB14" s="629"/>
      <c r="FC14" s="629"/>
      <c r="FD14" s="629"/>
      <c r="FE14" s="629"/>
      <c r="FF14" s="629"/>
      <c r="FG14" s="629"/>
      <c r="FH14" s="629"/>
      <c r="FI14" s="629"/>
      <c r="FJ14" s="629"/>
      <c r="FK14" s="629"/>
      <c r="FL14" s="629"/>
      <c r="FM14" s="629"/>
      <c r="FN14" s="629"/>
      <c r="FO14" s="629"/>
      <c r="FP14" s="629"/>
      <c r="FQ14" s="629"/>
      <c r="FR14" s="629"/>
      <c r="FS14" s="629"/>
      <c r="FT14" s="629"/>
      <c r="FU14" s="629"/>
      <c r="FV14" s="629"/>
      <c r="FW14" s="629"/>
      <c r="FX14" s="629"/>
      <c r="FY14" s="629"/>
      <c r="FZ14" s="629"/>
      <c r="GA14" s="629"/>
      <c r="GB14" s="629"/>
      <c r="GC14" s="629"/>
      <c r="GD14" s="629"/>
      <c r="GE14" s="629"/>
      <c r="GF14" s="629"/>
      <c r="GG14" s="629"/>
      <c r="GH14" s="629"/>
      <c r="GI14" s="629"/>
      <c r="GJ14" s="629"/>
      <c r="GK14" s="629"/>
      <c r="GL14" s="629"/>
      <c r="GM14" s="629"/>
      <c r="GN14" s="629"/>
      <c r="GO14" s="629"/>
      <c r="GP14" s="629"/>
      <c r="GQ14" s="629"/>
      <c r="GR14" s="629"/>
      <c r="GS14" s="629"/>
      <c r="GT14" s="629"/>
      <c r="GU14" s="629"/>
      <c r="GV14" s="629"/>
      <c r="GW14" s="629"/>
      <c r="GX14" s="629"/>
      <c r="GY14" s="629"/>
      <c r="GZ14" s="629"/>
      <c r="HA14" s="629"/>
      <c r="HB14" s="629"/>
      <c r="HC14" s="629"/>
      <c r="HD14" s="629"/>
      <c r="HE14" s="629"/>
      <c r="HF14" s="629"/>
      <c r="HG14" s="629"/>
      <c r="HH14" s="629"/>
      <c r="HI14" s="629"/>
      <c r="HJ14" s="629"/>
      <c r="HK14" s="629"/>
      <c r="HL14" s="629"/>
      <c r="HM14" s="629"/>
      <c r="HN14" s="629"/>
      <c r="HO14" s="629"/>
      <c r="HP14" s="629"/>
      <c r="HQ14" s="629"/>
      <c r="HR14" s="629"/>
      <c r="HS14" s="629"/>
      <c r="HT14" s="629"/>
      <c r="HU14" s="629"/>
      <c r="HV14" s="629"/>
      <c r="HW14" s="629"/>
      <c r="HX14" s="629"/>
      <c r="HY14" s="629"/>
      <c r="HZ14" s="629"/>
      <c r="IA14" s="629"/>
      <c r="IB14" s="629"/>
      <c r="IC14" s="629"/>
      <c r="ID14" s="629"/>
      <c r="IE14" s="629"/>
      <c r="IF14" s="629"/>
      <c r="IG14" s="629"/>
      <c r="IH14" s="629"/>
      <c r="II14" s="629"/>
      <c r="IJ14" s="629"/>
      <c r="IK14" s="629"/>
    </row>
    <row r="15" spans="1:245" ht="25.5">
      <c r="A15" s="630"/>
      <c r="B15" s="631" t="s">
        <v>244</v>
      </c>
      <c r="C15" s="630"/>
      <c r="D15" s="630"/>
      <c r="E15" s="630"/>
      <c r="F15" s="630"/>
      <c r="G15" s="632"/>
      <c r="H15" s="632"/>
      <c r="I15" s="632"/>
      <c r="J15" s="630"/>
      <c r="K15" s="632"/>
      <c r="L15" s="632"/>
      <c r="M15" s="632"/>
      <c r="N15" s="632"/>
      <c r="O15" s="632"/>
      <c r="P15" s="632"/>
      <c r="Q15" s="632"/>
      <c r="R15" s="632"/>
      <c r="S15" s="632"/>
      <c r="T15" s="618"/>
      <c r="U15" s="618"/>
      <c r="V15" s="618"/>
      <c r="W15" s="633"/>
      <c r="X15" s="633"/>
      <c r="Y15" s="633"/>
      <c r="Z15" s="633"/>
      <c r="AA15" s="633"/>
      <c r="AB15" s="634" t="s">
        <v>128</v>
      </c>
      <c r="AC15" s="618">
        <v>19376.81</v>
      </c>
      <c r="AD15" s="618">
        <v>12917.87</v>
      </c>
      <c r="AE15" s="618">
        <v>15449.92</v>
      </c>
      <c r="AF15" s="635">
        <v>10299.95</v>
      </c>
      <c r="AG15" s="618">
        <v>12359.94</v>
      </c>
      <c r="AH15" s="618">
        <v>8239.96</v>
      </c>
      <c r="AI15" s="618">
        <v>12359.94</v>
      </c>
      <c r="AJ15" s="618">
        <v>8239.96</v>
      </c>
      <c r="AK15" s="618">
        <f t="shared" si="0"/>
        <v>59546.61000000001</v>
      </c>
      <c r="AL15" s="618">
        <f t="shared" si="1"/>
        <v>39697.74</v>
      </c>
      <c r="AM15" s="616"/>
      <c r="AN15" s="616"/>
      <c r="AO15" s="616"/>
      <c r="AP15" s="616"/>
      <c r="AQ15" s="616"/>
      <c r="AR15" s="616"/>
      <c r="AS15" s="616"/>
      <c r="AT15" s="616"/>
      <c r="AU15" s="616"/>
      <c r="AV15" s="616"/>
      <c r="AW15" s="616"/>
      <c r="AX15" s="616"/>
      <c r="AY15" s="616"/>
      <c r="AZ15" s="616"/>
      <c r="BA15" s="616"/>
      <c r="BB15" s="616"/>
      <c r="BC15" s="616"/>
      <c r="BD15" s="616"/>
      <c r="BE15" s="616"/>
      <c r="BF15" s="616"/>
      <c r="BG15" s="616"/>
      <c r="BH15" s="616"/>
      <c r="BI15" s="616"/>
      <c r="BJ15" s="616"/>
      <c r="BK15" s="616"/>
      <c r="BL15" s="616"/>
      <c r="BM15" s="616"/>
      <c r="BN15" s="616"/>
      <c r="BO15" s="616"/>
      <c r="BP15" s="616"/>
      <c r="BQ15" s="616"/>
      <c r="BR15" s="616"/>
      <c r="BS15" s="616"/>
      <c r="BT15" s="616"/>
      <c r="BU15" s="616"/>
      <c r="BV15" s="616"/>
      <c r="BW15" s="616"/>
      <c r="BX15" s="616"/>
      <c r="BY15" s="616"/>
      <c r="BZ15" s="616"/>
      <c r="CA15" s="616"/>
      <c r="CB15" s="616"/>
      <c r="CC15" s="616"/>
      <c r="CD15" s="616"/>
      <c r="CE15" s="616"/>
      <c r="CF15" s="616"/>
      <c r="CG15" s="616"/>
      <c r="CH15" s="616"/>
      <c r="CI15" s="616"/>
      <c r="CJ15" s="616"/>
      <c r="CK15" s="616"/>
      <c r="CL15" s="616"/>
      <c r="CM15" s="616"/>
      <c r="CN15" s="616"/>
      <c r="CO15" s="616"/>
      <c r="CP15" s="616"/>
      <c r="CQ15" s="616"/>
      <c r="CR15" s="616"/>
      <c r="CS15" s="616"/>
      <c r="CT15" s="616"/>
      <c r="CU15" s="616"/>
      <c r="CV15" s="616"/>
      <c r="CW15" s="616"/>
      <c r="CX15" s="616"/>
      <c r="CY15" s="616"/>
      <c r="CZ15" s="616"/>
      <c r="DA15" s="616"/>
      <c r="DB15" s="616"/>
      <c r="DC15" s="616"/>
      <c r="DD15" s="616"/>
      <c r="DE15" s="616"/>
      <c r="DF15" s="616"/>
      <c r="DG15" s="616"/>
      <c r="DH15" s="616"/>
      <c r="DI15" s="616"/>
      <c r="DJ15" s="616"/>
      <c r="DK15" s="616"/>
      <c r="DL15" s="616"/>
      <c r="DM15" s="616"/>
      <c r="DN15" s="616"/>
      <c r="DO15" s="616"/>
      <c r="DP15" s="616"/>
      <c r="DQ15" s="616"/>
      <c r="DR15" s="616"/>
      <c r="DS15" s="616"/>
      <c r="DT15" s="616"/>
      <c r="DU15" s="616"/>
      <c r="DV15" s="616"/>
      <c r="DW15" s="616"/>
      <c r="DX15" s="616"/>
      <c r="DY15" s="616"/>
      <c r="DZ15" s="616"/>
      <c r="EA15" s="616"/>
      <c r="EB15" s="616"/>
      <c r="EC15" s="616"/>
      <c r="ED15" s="616"/>
      <c r="EE15" s="616"/>
      <c r="EF15" s="616"/>
      <c r="EG15" s="616"/>
      <c r="EH15" s="616"/>
      <c r="EI15" s="616"/>
      <c r="EJ15" s="616"/>
      <c r="EK15" s="616"/>
      <c r="EL15" s="616"/>
      <c r="EM15" s="616"/>
      <c r="EN15" s="616"/>
      <c r="EO15" s="616"/>
      <c r="EP15" s="616"/>
      <c r="EQ15" s="616"/>
      <c r="ER15" s="616"/>
      <c r="ES15" s="616"/>
      <c r="ET15" s="616"/>
      <c r="EU15" s="616"/>
      <c r="EV15" s="616"/>
      <c r="EW15" s="616"/>
      <c r="EX15" s="616"/>
      <c r="EY15" s="616"/>
      <c r="EZ15" s="616"/>
      <c r="FA15" s="616"/>
      <c r="FB15" s="616"/>
      <c r="FC15" s="616"/>
      <c r="FD15" s="616"/>
      <c r="FE15" s="616"/>
      <c r="FF15" s="616"/>
      <c r="FG15" s="616"/>
      <c r="FH15" s="616"/>
      <c r="FI15" s="616"/>
      <c r="FJ15" s="616"/>
      <c r="FK15" s="616"/>
      <c r="FL15" s="616"/>
      <c r="FM15" s="616"/>
      <c r="FN15" s="616"/>
      <c r="FO15" s="616"/>
      <c r="FP15" s="616"/>
      <c r="FQ15" s="616"/>
      <c r="FR15" s="616"/>
      <c r="FS15" s="616"/>
      <c r="FT15" s="616"/>
      <c r="FU15" s="616"/>
      <c r="FV15" s="616"/>
      <c r="FW15" s="616"/>
      <c r="FX15" s="616"/>
      <c r="FY15" s="616"/>
      <c r="FZ15" s="616"/>
      <c r="GA15" s="616"/>
      <c r="GB15" s="616"/>
      <c r="GC15" s="616"/>
      <c r="GD15" s="616"/>
      <c r="GE15" s="616"/>
      <c r="GF15" s="616"/>
      <c r="GG15" s="616"/>
      <c r="GH15" s="616"/>
      <c r="GI15" s="616"/>
      <c r="GJ15" s="616"/>
      <c r="GK15" s="616"/>
      <c r="GL15" s="616"/>
      <c r="GM15" s="616"/>
      <c r="GN15" s="616"/>
      <c r="GO15" s="616"/>
      <c r="GP15" s="616"/>
      <c r="GQ15" s="616"/>
      <c r="GR15" s="616"/>
      <c r="GS15" s="616"/>
      <c r="GT15" s="616"/>
      <c r="GU15" s="616"/>
      <c r="GV15" s="616"/>
      <c r="GW15" s="616"/>
      <c r="GX15" s="616"/>
      <c r="GY15" s="616"/>
      <c r="GZ15" s="616"/>
      <c r="HA15" s="616"/>
      <c r="HB15" s="616"/>
      <c r="HC15" s="616"/>
      <c r="HD15" s="616"/>
      <c r="HE15" s="616"/>
      <c r="HF15" s="616"/>
      <c r="HG15" s="616"/>
      <c r="HH15" s="616"/>
      <c r="HI15" s="616"/>
      <c r="HJ15" s="616"/>
      <c r="HK15" s="616"/>
      <c r="HL15" s="616"/>
      <c r="HM15" s="616"/>
      <c r="HN15" s="616"/>
      <c r="HO15" s="616"/>
      <c r="HP15" s="616"/>
      <c r="HQ15" s="616"/>
      <c r="HR15" s="616"/>
      <c r="HS15" s="616"/>
      <c r="HT15" s="616"/>
      <c r="HU15" s="616"/>
      <c r="HV15" s="616"/>
      <c r="HW15" s="616"/>
      <c r="HX15" s="616"/>
      <c r="HY15" s="616"/>
      <c r="HZ15" s="616"/>
      <c r="IA15" s="616"/>
      <c r="IB15" s="616"/>
      <c r="IC15" s="616"/>
      <c r="ID15" s="616"/>
      <c r="IE15" s="616"/>
      <c r="IF15" s="616"/>
      <c r="IG15" s="616"/>
      <c r="IH15" s="616"/>
      <c r="II15" s="616"/>
      <c r="IJ15" s="616"/>
      <c r="IK15" s="616"/>
    </row>
    <row r="16" spans="1:245" ht="27" customHeight="1">
      <c r="A16" s="636">
        <v>1</v>
      </c>
      <c r="B16" s="631" t="s">
        <v>183</v>
      </c>
      <c r="C16" s="637">
        <f>F16-D16-E16</f>
        <v>7876.072500000001</v>
      </c>
      <c r="D16" s="637">
        <f>F16*0.14</f>
        <v>1470.2002000000002</v>
      </c>
      <c r="E16" s="637">
        <f>F16*0.11</f>
        <v>1155.1573</v>
      </c>
      <c r="F16" s="638">
        <v>10501.43</v>
      </c>
      <c r="G16" s="639">
        <f>J16-H16-I16</f>
        <v>5501.1075</v>
      </c>
      <c r="H16" s="639">
        <f>J16*0.14</f>
        <v>1026.8734000000002</v>
      </c>
      <c r="I16" s="639">
        <f>J16*0.11</f>
        <v>806.8291</v>
      </c>
      <c r="J16" s="638">
        <v>7334.81</v>
      </c>
      <c r="K16" s="640">
        <v>0</v>
      </c>
      <c r="L16" s="640">
        <v>0</v>
      </c>
      <c r="M16" s="640">
        <v>0</v>
      </c>
      <c r="N16" s="640">
        <v>0</v>
      </c>
      <c r="O16" s="639">
        <f aca="true" t="shared" si="2" ref="O16:R19">G16+K16</f>
        <v>5501.1075</v>
      </c>
      <c r="P16" s="639">
        <f t="shared" si="2"/>
        <v>1026.8734000000002</v>
      </c>
      <c r="Q16" s="639">
        <f t="shared" si="2"/>
        <v>806.8291</v>
      </c>
      <c r="R16" s="640">
        <f t="shared" si="2"/>
        <v>7334.81</v>
      </c>
      <c r="S16" s="639">
        <f>C16-G16</f>
        <v>2374.965000000001</v>
      </c>
      <c r="T16" s="639">
        <f>D16-H16</f>
        <v>443.32680000000005</v>
      </c>
      <c r="U16" s="639">
        <f>E16-I16</f>
        <v>348.32820000000004</v>
      </c>
      <c r="V16" s="641">
        <f>F16-J16</f>
        <v>3166.62</v>
      </c>
      <c r="W16" s="633"/>
      <c r="X16" s="633"/>
      <c r="Y16" s="633"/>
      <c r="Z16" s="633"/>
      <c r="AA16" s="633"/>
      <c r="AB16" s="642" t="s">
        <v>129</v>
      </c>
      <c r="AC16" s="618">
        <v>631.12</v>
      </c>
      <c r="AD16" s="618"/>
      <c r="AE16" s="618">
        <v>467.85</v>
      </c>
      <c r="AF16" s="618"/>
      <c r="AG16" s="618">
        <v>366.33</v>
      </c>
      <c r="AH16" s="618"/>
      <c r="AI16" s="618">
        <v>366.33</v>
      </c>
      <c r="AJ16" s="618"/>
      <c r="AK16" s="618">
        <f t="shared" si="0"/>
        <v>1831.6299999999999</v>
      </c>
      <c r="AL16" s="618">
        <f t="shared" si="1"/>
        <v>0</v>
      </c>
      <c r="AM16" s="616"/>
      <c r="AN16" s="616"/>
      <c r="AO16" s="616"/>
      <c r="AP16" s="616"/>
      <c r="AQ16" s="616"/>
      <c r="AR16" s="616"/>
      <c r="AS16" s="616"/>
      <c r="AT16" s="616"/>
      <c r="AU16" s="616"/>
      <c r="AV16" s="616"/>
      <c r="AW16" s="616"/>
      <c r="AX16" s="616"/>
      <c r="AY16" s="616"/>
      <c r="AZ16" s="616"/>
      <c r="BA16" s="616"/>
      <c r="BB16" s="616"/>
      <c r="BC16" s="616"/>
      <c r="BD16" s="616"/>
      <c r="BE16" s="616"/>
      <c r="BF16" s="616"/>
      <c r="BG16" s="616"/>
      <c r="BH16" s="616"/>
      <c r="BI16" s="616"/>
      <c r="BJ16" s="616"/>
      <c r="BK16" s="616"/>
      <c r="BL16" s="616"/>
      <c r="BM16" s="616"/>
      <c r="BN16" s="616"/>
      <c r="BO16" s="616"/>
      <c r="BP16" s="616"/>
      <c r="BQ16" s="616"/>
      <c r="BR16" s="616"/>
      <c r="BS16" s="616"/>
      <c r="BT16" s="616"/>
      <c r="BU16" s="616"/>
      <c r="BV16" s="616"/>
      <c r="BW16" s="616"/>
      <c r="BX16" s="616"/>
      <c r="BY16" s="616"/>
      <c r="BZ16" s="616"/>
      <c r="CA16" s="616"/>
      <c r="CB16" s="616"/>
      <c r="CC16" s="616"/>
      <c r="CD16" s="616"/>
      <c r="CE16" s="616"/>
      <c r="CF16" s="616"/>
      <c r="CG16" s="616"/>
      <c r="CH16" s="616"/>
      <c r="CI16" s="616"/>
      <c r="CJ16" s="616"/>
      <c r="CK16" s="616"/>
      <c r="CL16" s="616"/>
      <c r="CM16" s="616"/>
      <c r="CN16" s="616"/>
      <c r="CO16" s="616"/>
      <c r="CP16" s="616"/>
      <c r="CQ16" s="616"/>
      <c r="CR16" s="616"/>
      <c r="CS16" s="616"/>
      <c r="CT16" s="616"/>
      <c r="CU16" s="616"/>
      <c r="CV16" s="616"/>
      <c r="CW16" s="616"/>
      <c r="CX16" s="616"/>
      <c r="CY16" s="616"/>
      <c r="CZ16" s="616"/>
      <c r="DA16" s="616"/>
      <c r="DB16" s="616"/>
      <c r="DC16" s="616"/>
      <c r="DD16" s="616"/>
      <c r="DE16" s="616"/>
      <c r="DF16" s="616"/>
      <c r="DG16" s="616"/>
      <c r="DH16" s="616"/>
      <c r="DI16" s="616"/>
      <c r="DJ16" s="616"/>
      <c r="DK16" s="616"/>
      <c r="DL16" s="616"/>
      <c r="DM16" s="616"/>
      <c r="DN16" s="616"/>
      <c r="DO16" s="616"/>
      <c r="DP16" s="616"/>
      <c r="DQ16" s="616"/>
      <c r="DR16" s="616"/>
      <c r="DS16" s="616"/>
      <c r="DT16" s="616"/>
      <c r="DU16" s="616"/>
      <c r="DV16" s="616"/>
      <c r="DW16" s="616"/>
      <c r="DX16" s="616"/>
      <c r="DY16" s="616"/>
      <c r="DZ16" s="616"/>
      <c r="EA16" s="616"/>
      <c r="EB16" s="616"/>
      <c r="EC16" s="616"/>
      <c r="ED16" s="616"/>
      <c r="EE16" s="616"/>
      <c r="EF16" s="616"/>
      <c r="EG16" s="616"/>
      <c r="EH16" s="616"/>
      <c r="EI16" s="616"/>
      <c r="EJ16" s="616"/>
      <c r="EK16" s="616"/>
      <c r="EL16" s="616"/>
      <c r="EM16" s="616"/>
      <c r="EN16" s="616"/>
      <c r="EO16" s="616"/>
      <c r="EP16" s="616"/>
      <c r="EQ16" s="616"/>
      <c r="ER16" s="616"/>
      <c r="ES16" s="616"/>
      <c r="ET16" s="616"/>
      <c r="EU16" s="616"/>
      <c r="EV16" s="616"/>
      <c r="EW16" s="616"/>
      <c r="EX16" s="616"/>
      <c r="EY16" s="616"/>
      <c r="EZ16" s="616"/>
      <c r="FA16" s="616"/>
      <c r="FB16" s="616"/>
      <c r="FC16" s="616"/>
      <c r="FD16" s="616"/>
      <c r="FE16" s="616"/>
      <c r="FF16" s="616"/>
      <c r="FG16" s="616"/>
      <c r="FH16" s="616"/>
      <c r="FI16" s="616"/>
      <c r="FJ16" s="616"/>
      <c r="FK16" s="616"/>
      <c r="FL16" s="616"/>
      <c r="FM16" s="616"/>
      <c r="FN16" s="616"/>
      <c r="FO16" s="616"/>
      <c r="FP16" s="616"/>
      <c r="FQ16" s="616"/>
      <c r="FR16" s="616"/>
      <c r="FS16" s="616"/>
      <c r="FT16" s="616"/>
      <c r="FU16" s="616"/>
      <c r="FV16" s="616"/>
      <c r="FW16" s="616"/>
      <c r="FX16" s="616"/>
      <c r="FY16" s="616"/>
      <c r="FZ16" s="616"/>
      <c r="GA16" s="616"/>
      <c r="GB16" s="616"/>
      <c r="GC16" s="616"/>
      <c r="GD16" s="616"/>
      <c r="GE16" s="616"/>
      <c r="GF16" s="616"/>
      <c r="GG16" s="616"/>
      <c r="GH16" s="616"/>
      <c r="GI16" s="616"/>
      <c r="GJ16" s="616"/>
      <c r="GK16" s="616"/>
      <c r="GL16" s="616"/>
      <c r="GM16" s="616"/>
      <c r="GN16" s="616"/>
      <c r="GO16" s="616"/>
      <c r="GP16" s="616"/>
      <c r="GQ16" s="616"/>
      <c r="GR16" s="616"/>
      <c r="GS16" s="616"/>
      <c r="GT16" s="616"/>
      <c r="GU16" s="616"/>
      <c r="GV16" s="616"/>
      <c r="GW16" s="616"/>
      <c r="GX16" s="616"/>
      <c r="GY16" s="616"/>
      <c r="GZ16" s="616"/>
      <c r="HA16" s="616"/>
      <c r="HB16" s="616"/>
      <c r="HC16" s="616"/>
      <c r="HD16" s="616"/>
      <c r="HE16" s="616"/>
      <c r="HF16" s="616"/>
      <c r="HG16" s="616"/>
      <c r="HH16" s="616"/>
      <c r="HI16" s="616"/>
      <c r="HJ16" s="616"/>
      <c r="HK16" s="616"/>
      <c r="HL16" s="616"/>
      <c r="HM16" s="616"/>
      <c r="HN16" s="616"/>
      <c r="HO16" s="616"/>
      <c r="HP16" s="616"/>
      <c r="HQ16" s="616"/>
      <c r="HR16" s="616"/>
      <c r="HS16" s="616"/>
      <c r="HT16" s="616"/>
      <c r="HU16" s="616"/>
      <c r="HV16" s="616"/>
      <c r="HW16" s="616"/>
      <c r="HX16" s="616"/>
      <c r="HY16" s="616"/>
      <c r="HZ16" s="616"/>
      <c r="IA16" s="616"/>
      <c r="IB16" s="616"/>
      <c r="IC16" s="616"/>
      <c r="ID16" s="616"/>
      <c r="IE16" s="616"/>
      <c r="IF16" s="616"/>
      <c r="IG16" s="616"/>
      <c r="IH16" s="616"/>
      <c r="II16" s="616"/>
      <c r="IJ16" s="616"/>
      <c r="IK16" s="616"/>
    </row>
    <row r="17" spans="1:38" ht="12.75">
      <c r="A17" s="636">
        <v>2</v>
      </c>
      <c r="B17" s="643" t="s">
        <v>128</v>
      </c>
      <c r="C17" s="637">
        <f>F17-D17-E17</f>
        <v>53578.605</v>
      </c>
      <c r="D17" s="637">
        <f>F17*0.14</f>
        <v>10001.339600000001</v>
      </c>
      <c r="E17" s="637">
        <f>F17*0.11</f>
        <v>7858.1954</v>
      </c>
      <c r="F17" s="644">
        <v>71438.14</v>
      </c>
      <c r="G17" s="639">
        <f>J17-H17-I17</f>
        <v>44711.4675</v>
      </c>
      <c r="H17" s="639">
        <f>J17*0.14</f>
        <v>8346.1406</v>
      </c>
      <c r="I17" s="639">
        <f>J17*0.11</f>
        <v>6557.6819000000005</v>
      </c>
      <c r="J17" s="638">
        <v>59615.29</v>
      </c>
      <c r="K17" s="645">
        <f>N17-L17-M17</f>
        <v>29822.655</v>
      </c>
      <c r="L17" s="645">
        <f>N17*0.14</f>
        <v>5566.895600000001</v>
      </c>
      <c r="M17" s="645">
        <f>N17*0.11</f>
        <v>4373.9894</v>
      </c>
      <c r="N17" s="645">
        <v>39763.54</v>
      </c>
      <c r="O17" s="639">
        <f t="shared" si="2"/>
        <v>74534.1225</v>
      </c>
      <c r="P17" s="639">
        <f t="shared" si="2"/>
        <v>13913.036200000002</v>
      </c>
      <c r="Q17" s="639">
        <f t="shared" si="2"/>
        <v>10931.671300000002</v>
      </c>
      <c r="R17" s="640">
        <f t="shared" si="2"/>
        <v>99378.83</v>
      </c>
      <c r="S17" s="639">
        <f aca="true" t="shared" si="3" ref="S17:U21">C17-G17</f>
        <v>8867.137500000004</v>
      </c>
      <c r="T17" s="639">
        <f t="shared" si="3"/>
        <v>1655.1990000000005</v>
      </c>
      <c r="U17" s="639">
        <f t="shared" si="3"/>
        <v>1300.513499999999</v>
      </c>
      <c r="V17" s="641">
        <f aca="true" t="shared" si="4" ref="V17:V24">F17-J17</f>
        <v>11822.849999999999</v>
      </c>
      <c r="Y17" s="613"/>
      <c r="Z17" s="613"/>
      <c r="AA17" s="613"/>
      <c r="AB17" s="634" t="s">
        <v>130</v>
      </c>
      <c r="AC17" s="618">
        <v>407.58</v>
      </c>
      <c r="AD17" s="618"/>
      <c r="AE17" s="618">
        <v>367.55</v>
      </c>
      <c r="AF17" s="618"/>
      <c r="AG17" s="618">
        <v>293.32</v>
      </c>
      <c r="AH17" s="618"/>
      <c r="AI17" s="618">
        <v>293.32</v>
      </c>
      <c r="AJ17" s="618"/>
      <c r="AK17" s="618">
        <f t="shared" si="0"/>
        <v>1361.77</v>
      </c>
      <c r="AL17" s="618">
        <f t="shared" si="1"/>
        <v>0</v>
      </c>
    </row>
    <row r="18" spans="1:38" ht="25.5">
      <c r="A18" s="636">
        <v>3</v>
      </c>
      <c r="B18" s="631" t="s">
        <v>129</v>
      </c>
      <c r="C18" s="637">
        <f>F18-D18-E18</f>
        <v>1988.4825</v>
      </c>
      <c r="D18" s="637">
        <f>F18*0.14</f>
        <v>371.1834</v>
      </c>
      <c r="E18" s="637">
        <f>F18*0.11</f>
        <v>291.6441</v>
      </c>
      <c r="F18" s="644">
        <v>2651.31</v>
      </c>
      <c r="G18" s="639">
        <f>J18-H18-I18</f>
        <v>1375.2825</v>
      </c>
      <c r="H18" s="639">
        <f>J18*0.14</f>
        <v>256.7194</v>
      </c>
      <c r="I18" s="639">
        <f>J18*0.11</f>
        <v>201.7081</v>
      </c>
      <c r="J18" s="638">
        <v>1833.71</v>
      </c>
      <c r="K18" s="645">
        <f>N18-L18-M18</f>
        <v>854.6025</v>
      </c>
      <c r="L18" s="645">
        <f>N18*0.14</f>
        <v>159.52580000000003</v>
      </c>
      <c r="M18" s="645">
        <f>N18*0.11</f>
        <v>125.3417</v>
      </c>
      <c r="N18" s="645">
        <v>1139.47</v>
      </c>
      <c r="O18" s="639">
        <f t="shared" si="2"/>
        <v>2229.885</v>
      </c>
      <c r="P18" s="639">
        <f t="shared" si="2"/>
        <v>416.24520000000007</v>
      </c>
      <c r="Q18" s="639">
        <f t="shared" si="2"/>
        <v>327.0498</v>
      </c>
      <c r="R18" s="640">
        <f t="shared" si="2"/>
        <v>2973.1800000000003</v>
      </c>
      <c r="S18" s="639">
        <f t="shared" si="3"/>
        <v>613.2</v>
      </c>
      <c r="T18" s="639">
        <f t="shared" si="3"/>
        <v>114.464</v>
      </c>
      <c r="U18" s="639">
        <f t="shared" si="3"/>
        <v>89.93599999999998</v>
      </c>
      <c r="V18" s="641">
        <f t="shared" si="4"/>
        <v>817.5999999999999</v>
      </c>
      <c r="AB18" s="646" t="s">
        <v>19</v>
      </c>
      <c r="AC18" s="646"/>
      <c r="AD18" s="646"/>
      <c r="AE18" s="646"/>
      <c r="AF18" s="646"/>
      <c r="AG18" s="646"/>
      <c r="AH18" s="646"/>
      <c r="AI18" s="646"/>
      <c r="AJ18" s="646"/>
      <c r="AK18" s="618">
        <f t="shared" si="0"/>
        <v>0</v>
      </c>
      <c r="AL18" s="618">
        <f t="shared" si="1"/>
        <v>0</v>
      </c>
    </row>
    <row r="19" spans="1:38" ht="12.75">
      <c r="A19" s="636">
        <v>4</v>
      </c>
      <c r="B19" s="643" t="s">
        <v>130</v>
      </c>
      <c r="C19" s="637">
        <f>F19-D19-E19</f>
        <v>4290.0375</v>
      </c>
      <c r="D19" s="637">
        <f>F19*0.14</f>
        <v>800.8070000000001</v>
      </c>
      <c r="E19" s="637">
        <f>F19*0.11</f>
        <v>629.2055</v>
      </c>
      <c r="F19" s="644">
        <v>5720.05</v>
      </c>
      <c r="G19" s="639">
        <f>J19-H19-I19</f>
        <v>1022.3924999999999</v>
      </c>
      <c r="H19" s="639">
        <f>J19*0.14</f>
        <v>190.84660000000002</v>
      </c>
      <c r="I19" s="639">
        <f>J19*0.11</f>
        <v>149.95090000000002</v>
      </c>
      <c r="J19" s="638">
        <v>1363.19</v>
      </c>
      <c r="K19" s="645">
        <f>N19-L19-M19</f>
        <v>0</v>
      </c>
      <c r="L19" s="645">
        <f>N19*0.14</f>
        <v>0</v>
      </c>
      <c r="M19" s="645">
        <f>N19*0.11</f>
        <v>0</v>
      </c>
      <c r="N19" s="645">
        <v>0</v>
      </c>
      <c r="O19" s="639">
        <f t="shared" si="2"/>
        <v>1022.3924999999999</v>
      </c>
      <c r="P19" s="639">
        <f t="shared" si="2"/>
        <v>190.84660000000002</v>
      </c>
      <c r="Q19" s="639">
        <f t="shared" si="2"/>
        <v>149.95090000000002</v>
      </c>
      <c r="R19" s="640">
        <f t="shared" si="2"/>
        <v>1363.19</v>
      </c>
      <c r="S19" s="639">
        <f t="shared" si="3"/>
        <v>3267.6450000000004</v>
      </c>
      <c r="T19" s="639">
        <f t="shared" si="3"/>
        <v>609.9604000000002</v>
      </c>
      <c r="U19" s="639">
        <f t="shared" si="3"/>
        <v>479.2546</v>
      </c>
      <c r="V19" s="641">
        <f t="shared" si="4"/>
        <v>4356.860000000001</v>
      </c>
      <c r="AB19" s="621" t="s">
        <v>862</v>
      </c>
      <c r="AC19" s="618">
        <v>2.92</v>
      </c>
      <c r="AD19" s="618"/>
      <c r="AE19" s="618">
        <v>2.08</v>
      </c>
      <c r="AF19" s="618"/>
      <c r="AG19" s="618">
        <v>1.66</v>
      </c>
      <c r="AH19" s="618"/>
      <c r="AI19" s="618">
        <v>1.67</v>
      </c>
      <c r="AJ19" s="618"/>
      <c r="AK19" s="618">
        <f t="shared" si="0"/>
        <v>8.33</v>
      </c>
      <c r="AL19" s="618">
        <f t="shared" si="1"/>
        <v>0</v>
      </c>
    </row>
    <row r="20" spans="1:38" ht="25.5">
      <c r="A20" s="636">
        <v>5</v>
      </c>
      <c r="B20" s="631" t="s">
        <v>131</v>
      </c>
      <c r="C20" s="637">
        <f>F20-D20-E20</f>
        <v>16130.688</v>
      </c>
      <c r="D20" s="637">
        <f>F20*0.38</f>
        <v>12018.944</v>
      </c>
      <c r="E20" s="637">
        <f>F20*0.11</f>
        <v>3479.168</v>
      </c>
      <c r="F20" s="644">
        <v>31628.8</v>
      </c>
      <c r="G20" s="639">
        <f>J20-H20-I20</f>
        <v>5143.7835000000005</v>
      </c>
      <c r="H20" s="639">
        <f>J20*0.38</f>
        <v>3832.623</v>
      </c>
      <c r="I20" s="639">
        <f>J20*0.11</f>
        <v>1109.4435</v>
      </c>
      <c r="J20" s="638">
        <v>10085.85</v>
      </c>
      <c r="K20" s="645">
        <f>N20-L20-M20</f>
        <v>3429.1941</v>
      </c>
      <c r="L20" s="645">
        <f>N20*0.38</f>
        <v>2555.0858</v>
      </c>
      <c r="M20" s="645">
        <f>N20*0.11</f>
        <v>739.6301</v>
      </c>
      <c r="N20" s="645">
        <v>6723.91</v>
      </c>
      <c r="O20" s="639">
        <f>G20+K20</f>
        <v>8572.9776</v>
      </c>
      <c r="P20" s="639">
        <f>H20+L20</f>
        <v>6387.7088</v>
      </c>
      <c r="Q20" s="639">
        <f>I20+M20</f>
        <v>1849.0736000000002</v>
      </c>
      <c r="R20" s="641">
        <v>5321.22</v>
      </c>
      <c r="S20" s="639">
        <f t="shared" si="3"/>
        <v>10986.9045</v>
      </c>
      <c r="T20" s="639">
        <f t="shared" si="3"/>
        <v>8186.321</v>
      </c>
      <c r="U20" s="639">
        <f t="shared" si="3"/>
        <v>2369.7245000000003</v>
      </c>
      <c r="V20" s="641">
        <f t="shared" si="4"/>
        <v>21542.949999999997</v>
      </c>
      <c r="AB20" s="621" t="s">
        <v>863</v>
      </c>
      <c r="AC20" s="618"/>
      <c r="AD20" s="618"/>
      <c r="AE20" s="618"/>
      <c r="AF20" s="618"/>
      <c r="AG20" s="618"/>
      <c r="AH20" s="618"/>
      <c r="AI20" s="618"/>
      <c r="AJ20" s="618"/>
      <c r="AK20" s="618">
        <f t="shared" si="0"/>
        <v>0</v>
      </c>
      <c r="AL20" s="618">
        <f t="shared" si="1"/>
        <v>0</v>
      </c>
    </row>
    <row r="21" spans="1:38" s="616" customFormat="1" ht="12.75">
      <c r="A21" s="647"/>
      <c r="B21" s="648" t="s">
        <v>90</v>
      </c>
      <c r="C21" s="638">
        <f aca="true" t="shared" si="5" ref="C21:I21">C16+C17+C18+C19+C20</f>
        <v>83863.8855</v>
      </c>
      <c r="D21" s="638">
        <f t="shared" si="5"/>
        <v>24662.474200000004</v>
      </c>
      <c r="E21" s="638">
        <f t="shared" si="5"/>
        <v>13413.370299999999</v>
      </c>
      <c r="F21" s="644">
        <f t="shared" si="5"/>
        <v>121939.73000000001</v>
      </c>
      <c r="G21" s="644">
        <f t="shared" si="5"/>
        <v>57754.0335</v>
      </c>
      <c r="H21" s="644">
        <f t="shared" si="5"/>
        <v>13653.203000000001</v>
      </c>
      <c r="I21" s="644">
        <f t="shared" si="5"/>
        <v>8825.6135</v>
      </c>
      <c r="J21" s="638">
        <f>J16+J17+J18+J19+J20</f>
        <v>80232.85000000002</v>
      </c>
      <c r="K21" s="644">
        <f aca="true" t="shared" si="6" ref="K21:Q21">K16+K17+K18+K19+K20</f>
        <v>34106.4516</v>
      </c>
      <c r="L21" s="644">
        <f t="shared" si="6"/>
        <v>8281.5072</v>
      </c>
      <c r="M21" s="644">
        <f t="shared" si="6"/>
        <v>5238.961200000001</v>
      </c>
      <c r="N21" s="649">
        <f t="shared" si="6"/>
        <v>47626.92</v>
      </c>
      <c r="O21" s="644">
        <f t="shared" si="6"/>
        <v>91860.48509999999</v>
      </c>
      <c r="P21" s="644">
        <f t="shared" si="6"/>
        <v>21934.7102</v>
      </c>
      <c r="Q21" s="644">
        <f t="shared" si="6"/>
        <v>14064.574700000003</v>
      </c>
      <c r="R21" s="644">
        <f>R16+R17+R18+R19+R20</f>
        <v>116371.23000000001</v>
      </c>
      <c r="S21" s="639">
        <f t="shared" si="3"/>
        <v>26109.852000000006</v>
      </c>
      <c r="T21" s="639">
        <f t="shared" si="3"/>
        <v>11009.271200000003</v>
      </c>
      <c r="U21" s="639">
        <f t="shared" si="3"/>
        <v>4587.756799999999</v>
      </c>
      <c r="V21" s="641">
        <f t="shared" si="4"/>
        <v>41706.87999999999</v>
      </c>
      <c r="AB21" s="634" t="s">
        <v>128</v>
      </c>
      <c r="AC21" s="618">
        <v>24.04</v>
      </c>
      <c r="AD21" s="618">
        <v>16.03</v>
      </c>
      <c r="AE21" s="618">
        <v>17.17</v>
      </c>
      <c r="AF21" s="618">
        <v>11.45</v>
      </c>
      <c r="AG21" s="618">
        <v>13.73</v>
      </c>
      <c r="AH21" s="618">
        <v>19.16</v>
      </c>
      <c r="AI21" s="618">
        <v>13.74</v>
      </c>
      <c r="AJ21" s="618">
        <v>19.16</v>
      </c>
      <c r="AK21" s="618">
        <f t="shared" si="0"/>
        <v>68.67999999999999</v>
      </c>
      <c r="AL21" s="618">
        <f t="shared" si="1"/>
        <v>65.8</v>
      </c>
    </row>
    <row r="22" spans="1:38" ht="30" customHeight="1">
      <c r="A22" s="636"/>
      <c r="B22" s="650" t="s">
        <v>245</v>
      </c>
      <c r="C22" s="641"/>
      <c r="D22" s="641"/>
      <c r="E22" s="641"/>
      <c r="F22" s="644"/>
      <c r="G22" s="641"/>
      <c r="H22" s="641"/>
      <c r="I22" s="641"/>
      <c r="J22" s="638"/>
      <c r="K22" s="641"/>
      <c r="L22" s="641"/>
      <c r="M22" s="641"/>
      <c r="N22" s="641"/>
      <c r="O22" s="641"/>
      <c r="P22" s="641"/>
      <c r="Q22" s="641"/>
      <c r="R22" s="641"/>
      <c r="S22" s="641"/>
      <c r="T22" s="641"/>
      <c r="U22" s="641"/>
      <c r="V22" s="641">
        <f t="shared" si="4"/>
        <v>0</v>
      </c>
      <c r="AB22" s="642" t="s">
        <v>129</v>
      </c>
      <c r="AC22" s="618">
        <v>0.73</v>
      </c>
      <c r="AD22" s="618"/>
      <c r="AE22" s="618">
        <v>0.52</v>
      </c>
      <c r="AF22" s="618"/>
      <c r="AG22" s="618">
        <v>0.42</v>
      </c>
      <c r="AH22" s="618"/>
      <c r="AI22" s="618">
        <v>0.41</v>
      </c>
      <c r="AJ22" s="618"/>
      <c r="AK22" s="618">
        <f t="shared" si="0"/>
        <v>2.08</v>
      </c>
      <c r="AL22" s="618">
        <f t="shared" si="1"/>
        <v>0</v>
      </c>
    </row>
    <row r="23" spans="1:38" ht="12.75">
      <c r="A23" s="636">
        <v>6</v>
      </c>
      <c r="B23" s="631" t="s">
        <v>185</v>
      </c>
      <c r="C23" s="641"/>
      <c r="D23" s="641"/>
      <c r="E23" s="641"/>
      <c r="F23" s="644"/>
      <c r="G23" s="641"/>
      <c r="H23" s="641"/>
      <c r="I23" s="641"/>
      <c r="J23" s="638"/>
      <c r="K23" s="641"/>
      <c r="L23" s="641"/>
      <c r="M23" s="641"/>
      <c r="N23" s="641"/>
      <c r="O23" s="641"/>
      <c r="P23" s="641"/>
      <c r="Q23" s="641"/>
      <c r="R23" s="641"/>
      <c r="S23" s="641"/>
      <c r="T23" s="641"/>
      <c r="U23" s="641"/>
      <c r="V23" s="641">
        <f t="shared" si="4"/>
        <v>0</v>
      </c>
      <c r="AB23" s="634" t="s">
        <v>130</v>
      </c>
      <c r="AC23" s="618">
        <v>0.49</v>
      </c>
      <c r="AD23" s="618"/>
      <c r="AE23" s="618">
        <v>0.36</v>
      </c>
      <c r="AF23" s="618"/>
      <c r="AG23" s="618">
        <v>0.29</v>
      </c>
      <c r="AH23" s="618"/>
      <c r="AI23" s="618">
        <v>0.28</v>
      </c>
      <c r="AJ23" s="618"/>
      <c r="AK23" s="618">
        <f t="shared" si="0"/>
        <v>1.42</v>
      </c>
      <c r="AL23" s="618">
        <f t="shared" si="1"/>
        <v>0</v>
      </c>
    </row>
    <row r="24" spans="1:38" ht="12.75">
      <c r="A24" s="636">
        <v>7</v>
      </c>
      <c r="B24" s="643" t="s">
        <v>133</v>
      </c>
      <c r="C24" s="641"/>
      <c r="D24" s="641"/>
      <c r="E24" s="641"/>
      <c r="F24" s="649">
        <v>110</v>
      </c>
      <c r="G24" s="641"/>
      <c r="H24" s="641"/>
      <c r="I24" s="641"/>
      <c r="J24" s="638">
        <v>77.85</v>
      </c>
      <c r="K24" s="641"/>
      <c r="L24" s="641"/>
      <c r="M24" s="641"/>
      <c r="N24" s="641">
        <v>0</v>
      </c>
      <c r="O24" s="641"/>
      <c r="P24" s="641"/>
      <c r="Q24" s="641"/>
      <c r="R24" s="641">
        <v>77.85</v>
      </c>
      <c r="S24" s="641"/>
      <c r="T24" s="641"/>
      <c r="U24" s="641"/>
      <c r="V24" s="641">
        <f t="shared" si="4"/>
        <v>32.150000000000006</v>
      </c>
      <c r="AB24" s="646" t="s">
        <v>19</v>
      </c>
      <c r="AC24" s="646"/>
      <c r="AD24" s="646"/>
      <c r="AE24" s="646"/>
      <c r="AF24" s="646"/>
      <c r="AG24" s="646"/>
      <c r="AH24" s="646"/>
      <c r="AI24" s="646"/>
      <c r="AJ24" s="646"/>
      <c r="AK24" s="618">
        <f t="shared" si="0"/>
        <v>0</v>
      </c>
      <c r="AL24" s="618">
        <f t="shared" si="1"/>
        <v>0</v>
      </c>
    </row>
    <row r="25" spans="1:38" ht="12.75">
      <c r="A25" s="618"/>
      <c r="B25" s="643" t="s">
        <v>90</v>
      </c>
      <c r="C25" s="641"/>
      <c r="D25" s="641"/>
      <c r="E25" s="641"/>
      <c r="F25" s="644"/>
      <c r="G25" s="641"/>
      <c r="H25" s="641"/>
      <c r="I25" s="641"/>
      <c r="J25" s="638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AB25" s="621"/>
      <c r="AC25" s="618"/>
      <c r="AD25" s="618"/>
      <c r="AE25" s="618"/>
      <c r="AF25" s="618"/>
      <c r="AG25" s="618"/>
      <c r="AH25" s="618"/>
      <c r="AI25" s="618"/>
      <c r="AJ25" s="618"/>
      <c r="AK25" s="618">
        <f t="shared" si="0"/>
        <v>0</v>
      </c>
      <c r="AL25" s="618">
        <f t="shared" si="1"/>
        <v>0</v>
      </c>
    </row>
    <row r="26" spans="1:38" ht="12.75">
      <c r="A26" s="618"/>
      <c r="B26" s="643" t="s">
        <v>36</v>
      </c>
      <c r="C26" s="644">
        <f aca="true" t="shared" si="7" ref="C26:I26">C21+C24</f>
        <v>83863.8855</v>
      </c>
      <c r="D26" s="644">
        <f t="shared" si="7"/>
        <v>24662.474200000004</v>
      </c>
      <c r="E26" s="644">
        <f t="shared" si="7"/>
        <v>13413.370299999999</v>
      </c>
      <c r="F26" s="644">
        <f t="shared" si="7"/>
        <v>122049.73000000001</v>
      </c>
      <c r="G26" s="644">
        <f t="shared" si="7"/>
        <v>57754.0335</v>
      </c>
      <c r="H26" s="644">
        <f t="shared" si="7"/>
        <v>13653.203000000001</v>
      </c>
      <c r="I26" s="644">
        <f t="shared" si="7"/>
        <v>8825.6135</v>
      </c>
      <c r="J26" s="638">
        <f>J21+J24</f>
        <v>80310.70000000003</v>
      </c>
      <c r="K26" s="641">
        <f aca="true" t="shared" si="8" ref="K26:Q26">K21</f>
        <v>34106.4516</v>
      </c>
      <c r="L26" s="641">
        <f t="shared" si="8"/>
        <v>8281.5072</v>
      </c>
      <c r="M26" s="641">
        <f t="shared" si="8"/>
        <v>5238.961200000001</v>
      </c>
      <c r="N26" s="641">
        <f t="shared" si="8"/>
        <v>47626.92</v>
      </c>
      <c r="O26" s="641">
        <f t="shared" si="8"/>
        <v>91860.48509999999</v>
      </c>
      <c r="P26" s="641">
        <f t="shared" si="8"/>
        <v>21934.7102</v>
      </c>
      <c r="Q26" s="641">
        <f t="shared" si="8"/>
        <v>14064.574700000003</v>
      </c>
      <c r="R26" s="641">
        <f>R21</f>
        <v>116371.23000000001</v>
      </c>
      <c r="S26" s="641">
        <f>S21</f>
        <v>26109.852000000006</v>
      </c>
      <c r="T26" s="641">
        <f>T21</f>
        <v>11009.271200000003</v>
      </c>
      <c r="U26" s="641">
        <f>U21</f>
        <v>4587.756799999999</v>
      </c>
      <c r="V26" s="641">
        <f>V21</f>
        <v>41706.87999999999</v>
      </c>
      <c r="AB26" s="621" t="s">
        <v>862</v>
      </c>
      <c r="AC26" s="618">
        <f>AC13+AC19</f>
        <v>2527.41</v>
      </c>
      <c r="AD26" s="618"/>
      <c r="AE26" s="618">
        <f>AE13+AE19</f>
        <v>1873.48</v>
      </c>
      <c r="AF26" s="618"/>
      <c r="AG26" s="618">
        <f>AG13+AG19</f>
        <v>1466.95</v>
      </c>
      <c r="AH26" s="618"/>
      <c r="AI26" s="618">
        <f>AI13+AI19</f>
        <v>1466.97</v>
      </c>
      <c r="AJ26" s="618"/>
      <c r="AK26" s="618">
        <f t="shared" si="0"/>
        <v>7334.8099999999995</v>
      </c>
      <c r="AL26" s="618">
        <f t="shared" si="1"/>
        <v>0</v>
      </c>
    </row>
    <row r="27" spans="1:38" ht="12.75">
      <c r="A27" s="651"/>
      <c r="B27" s="652"/>
      <c r="C27" s="653"/>
      <c r="D27" s="653"/>
      <c r="E27" s="653"/>
      <c r="F27" s="653"/>
      <c r="G27" s="653"/>
      <c r="H27" s="653"/>
      <c r="I27" s="653"/>
      <c r="J27" s="654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AB27" s="621" t="s">
        <v>863</v>
      </c>
      <c r="AC27" s="618">
        <f>AC14+AC20</f>
        <v>3247.75</v>
      </c>
      <c r="AD27" s="618">
        <f aca="true" t="shared" si="9" ref="AD27:AI27">AD14</f>
        <v>2165.17</v>
      </c>
      <c r="AE27" s="618">
        <f t="shared" si="9"/>
        <v>2630.04</v>
      </c>
      <c r="AF27" s="618">
        <f t="shared" si="9"/>
        <v>1753.36</v>
      </c>
      <c r="AG27" s="618">
        <f t="shared" si="9"/>
        <v>2104.03</v>
      </c>
      <c r="AH27" s="618">
        <f t="shared" si="9"/>
        <v>1402.69</v>
      </c>
      <c r="AI27" s="618">
        <f t="shared" si="9"/>
        <v>2104.03</v>
      </c>
      <c r="AJ27" s="618"/>
      <c r="AK27" s="618">
        <f t="shared" si="0"/>
        <v>10085.85</v>
      </c>
      <c r="AL27" s="618">
        <f t="shared" si="1"/>
        <v>5321.219999999999</v>
      </c>
    </row>
    <row r="28" spans="1:38" ht="12.75">
      <c r="A28" s="651"/>
      <c r="B28" s="652"/>
      <c r="C28" s="653"/>
      <c r="D28" s="653"/>
      <c r="E28" s="653"/>
      <c r="F28" s="653"/>
      <c r="G28" s="653"/>
      <c r="H28" s="653"/>
      <c r="I28" s="653"/>
      <c r="J28" s="654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AB28" s="634" t="s">
        <v>128</v>
      </c>
      <c r="AC28" s="618">
        <f>AC15+AC21</f>
        <v>19400.850000000002</v>
      </c>
      <c r="AD28" s="618">
        <f aca="true" t="shared" si="10" ref="AD28:AI28">AD15+AD21</f>
        <v>12933.900000000001</v>
      </c>
      <c r="AE28" s="618">
        <f t="shared" si="10"/>
        <v>15467.09</v>
      </c>
      <c r="AF28" s="635">
        <f t="shared" si="10"/>
        <v>10311.400000000001</v>
      </c>
      <c r="AG28" s="618">
        <f t="shared" si="10"/>
        <v>12373.67</v>
      </c>
      <c r="AH28" s="618">
        <f t="shared" si="10"/>
        <v>8259.119999999999</v>
      </c>
      <c r="AI28" s="618">
        <f t="shared" si="10"/>
        <v>12373.68</v>
      </c>
      <c r="AJ28" s="618"/>
      <c r="AK28" s="618">
        <f t="shared" si="0"/>
        <v>59615.29</v>
      </c>
      <c r="AL28" s="618">
        <f t="shared" si="1"/>
        <v>31504.420000000002</v>
      </c>
    </row>
    <row r="29" spans="1:38" ht="25.5">
      <c r="A29" s="651"/>
      <c r="B29" s="652"/>
      <c r="C29" s="653"/>
      <c r="D29" s="653"/>
      <c r="E29" s="653"/>
      <c r="F29" s="653"/>
      <c r="G29" s="653"/>
      <c r="H29" s="653"/>
      <c r="I29" s="653"/>
      <c r="J29" s="654"/>
      <c r="K29" s="651"/>
      <c r="L29" s="651"/>
      <c r="M29" s="651"/>
      <c r="N29" s="651"/>
      <c r="O29" s="651"/>
      <c r="P29" s="651"/>
      <c r="Q29" s="651"/>
      <c r="R29" s="651"/>
      <c r="S29" s="651"/>
      <c r="T29" s="651"/>
      <c r="U29" s="651"/>
      <c r="V29" s="651"/>
      <c r="AB29" s="642" t="s">
        <v>129</v>
      </c>
      <c r="AC29" s="618">
        <f>AC16+AC22</f>
        <v>631.85</v>
      </c>
      <c r="AD29" s="618"/>
      <c r="AE29" s="618">
        <f>AE16+AE22</f>
        <v>468.37</v>
      </c>
      <c r="AF29" s="618"/>
      <c r="AG29" s="618">
        <f>AG16+AG22</f>
        <v>366.75</v>
      </c>
      <c r="AH29" s="618"/>
      <c r="AI29" s="618">
        <f>AI16+AI22</f>
        <v>366.74</v>
      </c>
      <c r="AJ29" s="618"/>
      <c r="AK29" s="618">
        <f t="shared" si="0"/>
        <v>1833.71</v>
      </c>
      <c r="AL29" s="618">
        <f t="shared" si="1"/>
        <v>0</v>
      </c>
    </row>
    <row r="30" spans="28:38" ht="12.75">
      <c r="AB30" s="634" t="s">
        <v>130</v>
      </c>
      <c r="AC30" s="618">
        <f>AC17+AC23</f>
        <v>408.07</v>
      </c>
      <c r="AD30" s="618"/>
      <c r="AE30" s="618">
        <f>AE17+AE23</f>
        <v>367.91</v>
      </c>
      <c r="AF30" s="618"/>
      <c r="AG30" s="618">
        <f>AG17+AG23</f>
        <v>293.61</v>
      </c>
      <c r="AH30" s="618"/>
      <c r="AI30" s="618">
        <f>AI17+AI23</f>
        <v>293.59999999999997</v>
      </c>
      <c r="AJ30" s="618"/>
      <c r="AK30" s="618">
        <f t="shared" si="0"/>
        <v>1363.19</v>
      </c>
      <c r="AL30" s="618">
        <f t="shared" si="1"/>
        <v>0</v>
      </c>
    </row>
    <row r="31" spans="1:38" ht="12.75">
      <c r="A31" s="615" t="s">
        <v>12</v>
      </c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5"/>
      <c r="M31" s="615"/>
      <c r="N31" s="615"/>
      <c r="O31" s="615"/>
      <c r="P31" s="615"/>
      <c r="Q31" s="615"/>
      <c r="R31" s="751"/>
      <c r="S31" s="751"/>
      <c r="T31" s="751"/>
      <c r="U31" s="751"/>
      <c r="V31" s="751"/>
      <c r="W31" s="616"/>
      <c r="X31" s="616"/>
      <c r="Y31" s="616"/>
      <c r="Z31" s="616"/>
      <c r="AA31" s="616"/>
      <c r="AB31" s="646" t="s">
        <v>19</v>
      </c>
      <c r="AC31" s="646">
        <f aca="true" t="shared" si="11" ref="AC31:AJ31">AC26+AC27+AC28+AC29+AC30</f>
        <v>26215.93</v>
      </c>
      <c r="AD31" s="646">
        <f t="shared" si="11"/>
        <v>15099.070000000002</v>
      </c>
      <c r="AE31" s="646">
        <f t="shared" si="11"/>
        <v>20806.89</v>
      </c>
      <c r="AF31" s="646">
        <f t="shared" si="11"/>
        <v>12064.760000000002</v>
      </c>
      <c r="AG31" s="646">
        <f t="shared" si="11"/>
        <v>16605.010000000002</v>
      </c>
      <c r="AH31" s="646">
        <f t="shared" si="11"/>
        <v>9661.81</v>
      </c>
      <c r="AI31" s="646">
        <f t="shared" si="11"/>
        <v>16605.02</v>
      </c>
      <c r="AJ31" s="646">
        <f t="shared" si="11"/>
        <v>0</v>
      </c>
      <c r="AK31" s="618">
        <f t="shared" si="0"/>
        <v>80232.85</v>
      </c>
      <c r="AL31" s="618">
        <f t="shared" si="1"/>
        <v>36825.64</v>
      </c>
    </row>
    <row r="32" spans="2:35" ht="12.75" customHeight="1">
      <c r="B32" s="655"/>
      <c r="C32" s="655"/>
      <c r="D32" s="655"/>
      <c r="E32" s="655"/>
      <c r="F32" s="655"/>
      <c r="G32" s="751" t="s">
        <v>1021</v>
      </c>
      <c r="H32" s="751"/>
      <c r="I32" s="751"/>
      <c r="J32" s="751"/>
      <c r="K32" s="751"/>
      <c r="L32" s="655"/>
      <c r="M32" s="655"/>
      <c r="N32" s="655"/>
      <c r="O32" s="655"/>
      <c r="P32" s="655"/>
      <c r="Q32" s="655"/>
      <c r="R32" s="751" t="s">
        <v>1024</v>
      </c>
      <c r="S32" s="751"/>
      <c r="T32" s="751"/>
      <c r="U32" s="751"/>
      <c r="V32" s="751"/>
      <c r="W32" s="655"/>
      <c r="X32" s="655"/>
      <c r="Y32" s="655"/>
      <c r="Z32" s="655"/>
      <c r="AA32" s="655"/>
      <c r="AC32" s="656">
        <v>42929</v>
      </c>
      <c r="AE32" s="656">
        <v>42852</v>
      </c>
      <c r="AG32" s="656">
        <v>43098</v>
      </c>
      <c r="AI32" s="656">
        <v>43082</v>
      </c>
    </row>
    <row r="33" spans="2:35" ht="12.75" customHeight="1">
      <c r="B33" s="655"/>
      <c r="C33" s="655"/>
      <c r="D33" s="655"/>
      <c r="E33" s="655"/>
      <c r="F33" s="655"/>
      <c r="G33" s="751" t="s">
        <v>1022</v>
      </c>
      <c r="H33" s="751"/>
      <c r="I33" s="751"/>
      <c r="J33" s="751"/>
      <c r="K33" s="751"/>
      <c r="L33" s="655"/>
      <c r="M33" s="655"/>
      <c r="N33" s="655"/>
      <c r="O33" s="655"/>
      <c r="P33" s="655"/>
      <c r="Q33" s="655"/>
      <c r="R33" s="751" t="s">
        <v>1025</v>
      </c>
      <c r="S33" s="751"/>
      <c r="T33" s="751"/>
      <c r="U33" s="751"/>
      <c r="V33" s="751"/>
      <c r="W33" s="617"/>
      <c r="X33" s="617"/>
      <c r="Y33" s="617"/>
      <c r="Z33" s="617"/>
      <c r="AA33" s="617"/>
      <c r="AI33" s="608">
        <f>AG31+AI31</f>
        <v>33210.03</v>
      </c>
    </row>
    <row r="34" spans="1:32" ht="12.75">
      <c r="A34" s="615"/>
      <c r="B34" s="615"/>
      <c r="C34" s="615"/>
      <c r="D34" s="615"/>
      <c r="E34" s="615"/>
      <c r="F34" s="615"/>
      <c r="G34" s="615"/>
      <c r="H34" s="749" t="s">
        <v>1023</v>
      </c>
      <c r="I34" s="749"/>
      <c r="J34" s="749"/>
      <c r="K34" s="609"/>
      <c r="L34" s="615"/>
      <c r="M34" s="615"/>
      <c r="N34" s="615"/>
      <c r="O34" s="615"/>
      <c r="P34" s="615"/>
      <c r="Q34" s="615"/>
      <c r="R34" s="615"/>
      <c r="S34" s="749" t="s">
        <v>1023</v>
      </c>
      <c r="T34" s="749"/>
      <c r="U34" s="749"/>
      <c r="V34" s="609"/>
      <c r="W34" s="615"/>
      <c r="X34" s="615"/>
      <c r="Y34" s="615"/>
      <c r="Z34" s="615"/>
      <c r="AE34" s="615"/>
      <c r="AF34" s="615"/>
    </row>
    <row r="46" ht="23.25" customHeight="1"/>
    <row r="52" ht="23.25" customHeight="1"/>
    <row r="59" ht="30.75" customHeight="1"/>
  </sheetData>
  <sheetProtection/>
  <mergeCells count="22">
    <mergeCell ref="G2:O2"/>
    <mergeCell ref="A3:U3"/>
    <mergeCell ref="A4:U4"/>
    <mergeCell ref="A6:U6"/>
    <mergeCell ref="A8:C8"/>
    <mergeCell ref="G32:K32"/>
    <mergeCell ref="G33:K33"/>
    <mergeCell ref="A11:A12"/>
    <mergeCell ref="B11:B12"/>
    <mergeCell ref="C11:F12"/>
    <mergeCell ref="G12:J12"/>
    <mergeCell ref="K12:N12"/>
    <mergeCell ref="H34:J34"/>
    <mergeCell ref="S34:U34"/>
    <mergeCell ref="AB10:AD10"/>
    <mergeCell ref="R33:V33"/>
    <mergeCell ref="R32:V32"/>
    <mergeCell ref="R31:V31"/>
    <mergeCell ref="O12:R12"/>
    <mergeCell ref="G11:R11"/>
    <mergeCell ref="U10:V10"/>
    <mergeCell ref="S11:V12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8" r:id="rId1"/>
  <colBreaks count="1" manualBreakCount="1">
    <brk id="23" max="65535" man="1"/>
  </colBreaks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90" zoomScaleSheetLayoutView="90" zoomScalePageLayoutView="0" workbookViewId="0" topLeftCell="A2">
      <selection activeCell="S41" sqref="S41"/>
    </sheetView>
  </sheetViews>
  <sheetFormatPr defaultColWidth="9.140625" defaultRowHeight="12.75"/>
  <cols>
    <col min="1" max="1" width="8.57421875" style="203" customWidth="1"/>
    <col min="2" max="2" width="16.421875" style="203" customWidth="1"/>
    <col min="3" max="3" width="12.00390625" style="203" customWidth="1"/>
    <col min="4" max="4" width="15.140625" style="203" customWidth="1"/>
    <col min="5" max="5" width="8.7109375" style="203" customWidth="1"/>
    <col min="6" max="6" width="7.28125" style="203" customWidth="1"/>
    <col min="7" max="7" width="7.421875" style="203" customWidth="1"/>
    <col min="8" max="8" width="6.28125" style="203" customWidth="1"/>
    <col min="9" max="9" width="6.57421875" style="203" customWidth="1"/>
    <col min="10" max="10" width="6.7109375" style="203" customWidth="1"/>
    <col min="11" max="11" width="7.140625" style="203" customWidth="1"/>
    <col min="12" max="12" width="8.140625" style="203" customWidth="1"/>
    <col min="13" max="13" width="9.28125" style="203" customWidth="1"/>
    <col min="14" max="16384" width="9.140625" style="203" customWidth="1"/>
  </cols>
  <sheetData>
    <row r="1" spans="8:12" ht="12.75">
      <c r="H1" s="987"/>
      <c r="I1" s="987"/>
      <c r="L1" s="206" t="s">
        <v>546</v>
      </c>
    </row>
    <row r="2" spans="4:12" ht="12.75">
      <c r="D2" s="987" t="s">
        <v>497</v>
      </c>
      <c r="E2" s="987"/>
      <c r="F2" s="987"/>
      <c r="G2" s="987"/>
      <c r="H2" s="205"/>
      <c r="I2" s="205"/>
      <c r="L2" s="206"/>
    </row>
    <row r="3" spans="1:13" s="207" customFormat="1" ht="15.75">
      <c r="A3" s="988" t="s">
        <v>696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</row>
    <row r="4" spans="1:13" s="207" customFormat="1" ht="20.25" customHeight="1">
      <c r="A4" s="988" t="s">
        <v>695</v>
      </c>
      <c r="B4" s="988"/>
      <c r="C4" s="988"/>
      <c r="D4" s="988"/>
      <c r="E4" s="988"/>
      <c r="F4" s="988"/>
      <c r="G4" s="988"/>
      <c r="H4" s="988"/>
      <c r="I4" s="988"/>
      <c r="J4" s="988"/>
      <c r="K4" s="988"/>
      <c r="L4" s="988"/>
      <c r="M4" s="988"/>
    </row>
    <row r="6" spans="1:10" ht="12.75">
      <c r="A6" s="208" t="s">
        <v>1020</v>
      </c>
      <c r="B6" s="208"/>
      <c r="C6" s="209"/>
      <c r="D6" s="210"/>
      <c r="E6" s="210"/>
      <c r="F6" s="210"/>
      <c r="G6" s="210"/>
      <c r="H6" s="210"/>
      <c r="I6" s="210"/>
      <c r="J6" s="210"/>
    </row>
    <row r="8" spans="1:16" s="211" customFormat="1" ht="15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907" t="s">
        <v>820</v>
      </c>
      <c r="L8" s="907"/>
      <c r="M8" s="907"/>
      <c r="N8" s="907"/>
      <c r="O8" s="907"/>
      <c r="P8" s="907"/>
    </row>
    <row r="9" spans="1:16" s="211" customFormat="1" ht="20.25" customHeight="1">
      <c r="A9" s="915" t="s">
        <v>2</v>
      </c>
      <c r="B9" s="915" t="s">
        <v>3</v>
      </c>
      <c r="C9" s="921" t="s">
        <v>281</v>
      </c>
      <c r="D9" s="921" t="s">
        <v>282</v>
      </c>
      <c r="E9" s="984" t="s">
        <v>283</v>
      </c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</row>
    <row r="10" spans="1:16" s="211" customFormat="1" ht="35.25" customHeight="1">
      <c r="A10" s="989"/>
      <c r="B10" s="989"/>
      <c r="C10" s="922"/>
      <c r="D10" s="922"/>
      <c r="E10" s="292" t="s">
        <v>833</v>
      </c>
      <c r="F10" s="292" t="s">
        <v>284</v>
      </c>
      <c r="G10" s="292" t="s">
        <v>285</v>
      </c>
      <c r="H10" s="292" t="s">
        <v>286</v>
      </c>
      <c r="I10" s="292" t="s">
        <v>287</v>
      </c>
      <c r="J10" s="292" t="s">
        <v>288</v>
      </c>
      <c r="K10" s="292" t="s">
        <v>289</v>
      </c>
      <c r="L10" s="292" t="s">
        <v>290</v>
      </c>
      <c r="M10" s="292" t="s">
        <v>834</v>
      </c>
      <c r="N10" s="223" t="s">
        <v>835</v>
      </c>
      <c r="O10" s="223" t="s">
        <v>831</v>
      </c>
      <c r="P10" s="223" t="s">
        <v>832</v>
      </c>
    </row>
    <row r="11" spans="1:16" s="211" customFormat="1" ht="12.75" customHeight="1">
      <c r="A11" s="214">
        <v>1</v>
      </c>
      <c r="B11" s="214">
        <v>2</v>
      </c>
      <c r="C11" s="214">
        <v>3</v>
      </c>
      <c r="D11" s="214">
        <v>4</v>
      </c>
      <c r="E11" s="338">
        <v>5</v>
      </c>
      <c r="F11" s="338">
        <v>6</v>
      </c>
      <c r="G11" s="338">
        <v>7</v>
      </c>
      <c r="H11" s="338">
        <v>8</v>
      </c>
      <c r="I11" s="338">
        <v>9</v>
      </c>
      <c r="J11" s="338">
        <v>10</v>
      </c>
      <c r="K11" s="338">
        <v>11</v>
      </c>
      <c r="L11" s="338">
        <v>12</v>
      </c>
      <c r="M11" s="338">
        <v>13</v>
      </c>
      <c r="N11" s="214">
        <v>14</v>
      </c>
      <c r="O11" s="214">
        <v>15</v>
      </c>
      <c r="P11" s="214">
        <v>16</v>
      </c>
    </row>
    <row r="12" spans="1:16" ht="12.75">
      <c r="A12" s="146">
        <v>1</v>
      </c>
      <c r="B12" s="328" t="s">
        <v>870</v>
      </c>
      <c r="C12" s="215">
        <f>'AT-3'!F9</f>
        <v>4538</v>
      </c>
      <c r="D12" s="339">
        <v>4539</v>
      </c>
      <c r="E12" s="339">
        <v>4539</v>
      </c>
      <c r="F12" s="339">
        <v>4539</v>
      </c>
      <c r="G12" s="339">
        <v>4539</v>
      </c>
      <c r="H12" s="339">
        <v>4539</v>
      </c>
      <c r="I12" s="339">
        <v>4539</v>
      </c>
      <c r="J12" s="339">
        <v>4539</v>
      </c>
      <c r="K12" s="339">
        <v>4539</v>
      </c>
      <c r="L12" s="339">
        <v>4539</v>
      </c>
      <c r="M12" s="339">
        <v>4539</v>
      </c>
      <c r="N12" s="339">
        <v>4539</v>
      </c>
      <c r="O12" s="339">
        <v>4539</v>
      </c>
      <c r="P12" s="339">
        <v>4539</v>
      </c>
    </row>
    <row r="13" spans="1:16" ht="12.75">
      <c r="A13" s="146">
        <v>2</v>
      </c>
      <c r="B13" s="328" t="s">
        <v>871</v>
      </c>
      <c r="C13" s="215">
        <f>'AT-3'!F10</f>
        <v>1430</v>
      </c>
      <c r="D13" s="339">
        <v>1430</v>
      </c>
      <c r="E13" s="339">
        <v>1430</v>
      </c>
      <c r="F13" s="339">
        <v>1430</v>
      </c>
      <c r="G13" s="339">
        <v>1430</v>
      </c>
      <c r="H13" s="339">
        <v>1430</v>
      </c>
      <c r="I13" s="339">
        <v>1430</v>
      </c>
      <c r="J13" s="339">
        <v>1430</v>
      </c>
      <c r="K13" s="339">
        <v>1430</v>
      </c>
      <c r="L13" s="339">
        <v>1430</v>
      </c>
      <c r="M13" s="339">
        <v>1430</v>
      </c>
      <c r="N13" s="339">
        <v>1430</v>
      </c>
      <c r="O13" s="339">
        <v>1430</v>
      </c>
      <c r="P13" s="339">
        <v>1430</v>
      </c>
    </row>
    <row r="14" spans="1:16" ht="12.75">
      <c r="A14" s="146">
        <v>3</v>
      </c>
      <c r="B14" s="328" t="s">
        <v>872</v>
      </c>
      <c r="C14" s="215">
        <f>'AT-3'!F11</f>
        <v>2401</v>
      </c>
      <c r="D14" s="339">
        <v>2401</v>
      </c>
      <c r="E14" s="339">
        <v>2401</v>
      </c>
      <c r="F14" s="339">
        <v>2401</v>
      </c>
      <c r="G14" s="339">
        <v>2401</v>
      </c>
      <c r="H14" s="339">
        <v>2401</v>
      </c>
      <c r="I14" s="339">
        <v>2401</v>
      </c>
      <c r="J14" s="339">
        <v>2401</v>
      </c>
      <c r="K14" s="339">
        <v>2401</v>
      </c>
      <c r="L14" s="339">
        <v>2401</v>
      </c>
      <c r="M14" s="339">
        <v>2401</v>
      </c>
      <c r="N14" s="339">
        <v>2401</v>
      </c>
      <c r="O14" s="339">
        <v>2401</v>
      </c>
      <c r="P14" s="339">
        <v>2401</v>
      </c>
    </row>
    <row r="15" spans="1:16" s="135" customFormat="1" ht="12.75" customHeight="1">
      <c r="A15" s="146">
        <v>4</v>
      </c>
      <c r="B15" s="328" t="s">
        <v>873</v>
      </c>
      <c r="C15" s="215">
        <f>'AT-3'!F12</f>
        <v>2981</v>
      </c>
      <c r="D15" s="339">
        <v>2917</v>
      </c>
      <c r="E15" s="339">
        <v>2917</v>
      </c>
      <c r="F15" s="339">
        <v>2917</v>
      </c>
      <c r="G15" s="339">
        <v>2917</v>
      </c>
      <c r="H15" s="339">
        <v>2917</v>
      </c>
      <c r="I15" s="339">
        <v>2917</v>
      </c>
      <c r="J15" s="339">
        <v>2917</v>
      </c>
      <c r="K15" s="339">
        <v>2917</v>
      </c>
      <c r="L15" s="339">
        <v>2917</v>
      </c>
      <c r="M15" s="339">
        <v>2917</v>
      </c>
      <c r="N15" s="339">
        <v>2917</v>
      </c>
      <c r="O15" s="339">
        <v>2917</v>
      </c>
      <c r="P15" s="339">
        <v>2917</v>
      </c>
    </row>
    <row r="16" spans="1:16" s="135" customFormat="1" ht="12.75" customHeight="1">
      <c r="A16" s="146">
        <v>5</v>
      </c>
      <c r="B16" s="328" t="s">
        <v>874</v>
      </c>
      <c r="C16" s="215">
        <f>'AT-3'!F13</f>
        <v>3224</v>
      </c>
      <c r="D16" s="339">
        <v>3224</v>
      </c>
      <c r="E16" s="339">
        <v>3224</v>
      </c>
      <c r="F16" s="339">
        <v>3224</v>
      </c>
      <c r="G16" s="339">
        <v>3224</v>
      </c>
      <c r="H16" s="339">
        <v>3224</v>
      </c>
      <c r="I16" s="339">
        <v>3224</v>
      </c>
      <c r="J16" s="339">
        <v>3224</v>
      </c>
      <c r="K16" s="339">
        <v>3224</v>
      </c>
      <c r="L16" s="339">
        <v>3224</v>
      </c>
      <c r="M16" s="339">
        <v>3224</v>
      </c>
      <c r="N16" s="339">
        <v>3224</v>
      </c>
      <c r="O16" s="339">
        <v>3224</v>
      </c>
      <c r="P16" s="339">
        <v>3224</v>
      </c>
    </row>
    <row r="17" spans="1:16" s="135" customFormat="1" ht="12.75" customHeight="1">
      <c r="A17" s="146">
        <v>6</v>
      </c>
      <c r="B17" s="328" t="s">
        <v>875</v>
      </c>
      <c r="C17" s="215">
        <f>'AT-3'!F14</f>
        <v>1132</v>
      </c>
      <c r="D17" s="339">
        <v>1132</v>
      </c>
      <c r="E17" s="339">
        <v>1132</v>
      </c>
      <c r="F17" s="339">
        <v>1132</v>
      </c>
      <c r="G17" s="339">
        <v>1132</v>
      </c>
      <c r="H17" s="339">
        <v>1132</v>
      </c>
      <c r="I17" s="339">
        <v>1132</v>
      </c>
      <c r="J17" s="339">
        <v>1132</v>
      </c>
      <c r="K17" s="339">
        <v>1132</v>
      </c>
      <c r="L17" s="339">
        <v>1132</v>
      </c>
      <c r="M17" s="339">
        <v>1132</v>
      </c>
      <c r="N17" s="339">
        <v>1132</v>
      </c>
      <c r="O17" s="339">
        <v>1132</v>
      </c>
      <c r="P17" s="339">
        <v>1132</v>
      </c>
    </row>
    <row r="18" spans="1:16" ht="12.75" customHeight="1">
      <c r="A18" s="146">
        <v>7</v>
      </c>
      <c r="B18" s="328" t="s">
        <v>876</v>
      </c>
      <c r="C18" s="215">
        <f>'AT-3'!F15</f>
        <v>2013</v>
      </c>
      <c r="D18" s="339">
        <v>2013</v>
      </c>
      <c r="E18" s="339">
        <v>2013</v>
      </c>
      <c r="F18" s="339">
        <v>2013</v>
      </c>
      <c r="G18" s="339">
        <v>2013</v>
      </c>
      <c r="H18" s="339">
        <v>2013</v>
      </c>
      <c r="I18" s="339">
        <v>2013</v>
      </c>
      <c r="J18" s="339">
        <v>2013</v>
      </c>
      <c r="K18" s="339">
        <v>2013</v>
      </c>
      <c r="L18" s="339">
        <v>2013</v>
      </c>
      <c r="M18" s="339">
        <v>2013</v>
      </c>
      <c r="N18" s="339">
        <v>2013</v>
      </c>
      <c r="O18" s="339">
        <v>2013</v>
      </c>
      <c r="P18" s="339">
        <v>2013</v>
      </c>
    </row>
    <row r="19" spans="1:16" ht="12.75">
      <c r="A19" s="146">
        <v>8</v>
      </c>
      <c r="B19" s="328" t="s">
        <v>877</v>
      </c>
      <c r="C19" s="215">
        <f>'AT-3'!F16</f>
        <v>2035</v>
      </c>
      <c r="D19" s="339">
        <v>2035</v>
      </c>
      <c r="E19" s="339">
        <v>2035</v>
      </c>
      <c r="F19" s="339">
        <v>2035</v>
      </c>
      <c r="G19" s="339">
        <v>2035</v>
      </c>
      <c r="H19" s="339">
        <v>2035</v>
      </c>
      <c r="I19" s="339">
        <v>2035</v>
      </c>
      <c r="J19" s="339">
        <v>2035</v>
      </c>
      <c r="K19" s="339">
        <v>2035</v>
      </c>
      <c r="L19" s="339">
        <v>2035</v>
      </c>
      <c r="M19" s="339">
        <v>2035</v>
      </c>
      <c r="N19" s="339">
        <v>2035</v>
      </c>
      <c r="O19" s="339">
        <v>2035</v>
      </c>
      <c r="P19" s="339">
        <v>2035</v>
      </c>
    </row>
    <row r="20" spans="1:16" ht="12.75">
      <c r="A20" s="146">
        <v>9</v>
      </c>
      <c r="B20" s="328" t="s">
        <v>878</v>
      </c>
      <c r="C20" s="215">
        <f>'AT-3'!F17</f>
        <v>1682</v>
      </c>
      <c r="D20" s="339">
        <v>1682</v>
      </c>
      <c r="E20" s="339">
        <v>1682</v>
      </c>
      <c r="F20" s="339">
        <v>1682</v>
      </c>
      <c r="G20" s="339">
        <v>1682</v>
      </c>
      <c r="H20" s="339">
        <v>1682</v>
      </c>
      <c r="I20" s="339">
        <v>1682</v>
      </c>
      <c r="J20" s="339">
        <v>1682</v>
      </c>
      <c r="K20" s="339">
        <v>1682</v>
      </c>
      <c r="L20" s="339">
        <v>1682</v>
      </c>
      <c r="M20" s="339">
        <v>1682</v>
      </c>
      <c r="N20" s="339">
        <v>1682</v>
      </c>
      <c r="O20" s="339">
        <v>1682</v>
      </c>
      <c r="P20" s="339">
        <v>1682</v>
      </c>
    </row>
    <row r="21" spans="1:16" ht="12.75">
      <c r="A21" s="146">
        <v>10</v>
      </c>
      <c r="B21" s="328" t="s">
        <v>879</v>
      </c>
      <c r="C21" s="215">
        <f>'AT-3'!F18</f>
        <v>1799</v>
      </c>
      <c r="D21" s="339">
        <v>1799</v>
      </c>
      <c r="E21" s="339">
        <v>1799</v>
      </c>
      <c r="F21" s="339">
        <v>1799</v>
      </c>
      <c r="G21" s="339">
        <v>1799</v>
      </c>
      <c r="H21" s="339">
        <v>1799</v>
      </c>
      <c r="I21" s="339">
        <v>1799</v>
      </c>
      <c r="J21" s="339">
        <v>1799</v>
      </c>
      <c r="K21" s="339">
        <v>1799</v>
      </c>
      <c r="L21" s="339">
        <v>1799</v>
      </c>
      <c r="M21" s="339">
        <v>1799</v>
      </c>
      <c r="N21" s="339">
        <v>1799</v>
      </c>
      <c r="O21" s="339">
        <v>1799</v>
      </c>
      <c r="P21" s="339">
        <v>1799</v>
      </c>
    </row>
    <row r="22" spans="1:16" ht="12.75">
      <c r="A22" s="146">
        <v>11</v>
      </c>
      <c r="B22" s="328" t="s">
        <v>880</v>
      </c>
      <c r="C22" s="215">
        <f>'AT-3'!F19</f>
        <v>1374</v>
      </c>
      <c r="D22" s="339">
        <v>1357</v>
      </c>
      <c r="E22" s="339">
        <v>1356</v>
      </c>
      <c r="F22" s="339">
        <v>1356</v>
      </c>
      <c r="G22" s="339">
        <v>1356</v>
      </c>
      <c r="H22" s="339">
        <v>1356</v>
      </c>
      <c r="I22" s="339">
        <v>1356</v>
      </c>
      <c r="J22" s="339">
        <v>1356</v>
      </c>
      <c r="K22" s="339">
        <v>1356</v>
      </c>
      <c r="L22" s="339">
        <v>1356</v>
      </c>
      <c r="M22" s="339">
        <v>1356</v>
      </c>
      <c r="N22" s="339">
        <v>1356</v>
      </c>
      <c r="O22" s="339">
        <v>1356</v>
      </c>
      <c r="P22" s="339">
        <v>1356</v>
      </c>
    </row>
    <row r="23" spans="1:16" ht="12.75">
      <c r="A23" s="146">
        <v>12</v>
      </c>
      <c r="B23" s="328" t="s">
        <v>881</v>
      </c>
      <c r="C23" s="215">
        <f>'AT-3'!F20</f>
        <v>1032</v>
      </c>
      <c r="D23" s="339">
        <v>1032</v>
      </c>
      <c r="E23" s="339">
        <v>1032</v>
      </c>
      <c r="F23" s="339">
        <v>1032</v>
      </c>
      <c r="G23" s="339">
        <v>1032</v>
      </c>
      <c r="H23" s="339">
        <v>1032</v>
      </c>
      <c r="I23" s="339">
        <v>1032</v>
      </c>
      <c r="J23" s="339">
        <v>1032</v>
      </c>
      <c r="K23" s="339">
        <v>1032</v>
      </c>
      <c r="L23" s="339">
        <v>1032</v>
      </c>
      <c r="M23" s="339">
        <v>1032</v>
      </c>
      <c r="N23" s="339">
        <v>1032</v>
      </c>
      <c r="O23" s="339">
        <v>1032</v>
      </c>
      <c r="P23" s="339">
        <v>1032</v>
      </c>
    </row>
    <row r="24" spans="1:16" ht="12.75">
      <c r="A24" s="146">
        <v>13</v>
      </c>
      <c r="B24" s="328" t="s">
        <v>882</v>
      </c>
      <c r="C24" s="215">
        <f>'AT-3'!F21</f>
        <v>2748</v>
      </c>
      <c r="D24" s="339">
        <v>2734</v>
      </c>
      <c r="E24" s="339">
        <v>2734</v>
      </c>
      <c r="F24" s="339">
        <v>2734</v>
      </c>
      <c r="G24" s="339">
        <v>2734</v>
      </c>
      <c r="H24" s="339">
        <v>2734</v>
      </c>
      <c r="I24" s="339">
        <v>2734</v>
      </c>
      <c r="J24" s="339">
        <v>2734</v>
      </c>
      <c r="K24" s="339">
        <v>2734</v>
      </c>
      <c r="L24" s="339">
        <v>2734</v>
      </c>
      <c r="M24" s="339">
        <v>2734</v>
      </c>
      <c r="N24" s="339">
        <v>2734</v>
      </c>
      <c r="O24" s="339">
        <v>2734</v>
      </c>
      <c r="P24" s="339">
        <v>2734</v>
      </c>
    </row>
    <row r="25" spans="1:16" ht="12.75">
      <c r="A25" s="146">
        <v>14</v>
      </c>
      <c r="B25" s="328" t="s">
        <v>883</v>
      </c>
      <c r="C25" s="215">
        <f>'AT-3'!F22</f>
        <v>1923</v>
      </c>
      <c r="D25" s="339">
        <v>1902</v>
      </c>
      <c r="E25" s="339">
        <v>1902</v>
      </c>
      <c r="F25" s="339">
        <v>1902</v>
      </c>
      <c r="G25" s="339">
        <v>1902</v>
      </c>
      <c r="H25" s="339">
        <v>1902</v>
      </c>
      <c r="I25" s="339">
        <v>1902</v>
      </c>
      <c r="J25" s="339">
        <v>1902</v>
      </c>
      <c r="K25" s="339">
        <v>1902</v>
      </c>
      <c r="L25" s="339">
        <v>1902</v>
      </c>
      <c r="M25" s="339">
        <v>1902</v>
      </c>
      <c r="N25" s="339">
        <v>1902</v>
      </c>
      <c r="O25" s="339">
        <v>1902</v>
      </c>
      <c r="P25" s="339">
        <v>1902</v>
      </c>
    </row>
    <row r="26" spans="1:16" ht="12.75">
      <c r="A26" s="146">
        <v>15</v>
      </c>
      <c r="B26" s="328" t="s">
        <v>884</v>
      </c>
      <c r="C26" s="215">
        <f>'AT-3'!F23</f>
        <v>3061</v>
      </c>
      <c r="D26" s="339">
        <v>3061</v>
      </c>
      <c r="E26" s="339">
        <v>3061</v>
      </c>
      <c r="F26" s="339">
        <v>3061</v>
      </c>
      <c r="G26" s="339">
        <v>3061</v>
      </c>
      <c r="H26" s="339">
        <v>3061</v>
      </c>
      <c r="I26" s="339">
        <v>3061</v>
      </c>
      <c r="J26" s="339">
        <v>3061</v>
      </c>
      <c r="K26" s="339">
        <v>3061</v>
      </c>
      <c r="L26" s="339">
        <v>3061</v>
      </c>
      <c r="M26" s="339">
        <v>3061</v>
      </c>
      <c r="N26" s="339">
        <v>3061</v>
      </c>
      <c r="O26" s="339">
        <v>3061</v>
      </c>
      <c r="P26" s="339">
        <v>3061</v>
      </c>
    </row>
    <row r="27" spans="1:16" ht="12.75">
      <c r="A27" s="146">
        <v>16</v>
      </c>
      <c r="B27" s="328" t="s">
        <v>885</v>
      </c>
      <c r="C27" s="215">
        <f>'AT-3'!F24</f>
        <v>2137</v>
      </c>
      <c r="D27" s="339">
        <v>2137</v>
      </c>
      <c r="E27" s="339">
        <v>2137</v>
      </c>
      <c r="F27" s="339">
        <v>2137</v>
      </c>
      <c r="G27" s="339">
        <v>2137</v>
      </c>
      <c r="H27" s="339">
        <v>2137</v>
      </c>
      <c r="I27" s="339">
        <v>2137</v>
      </c>
      <c r="J27" s="339">
        <v>2137</v>
      </c>
      <c r="K27" s="339">
        <v>2137</v>
      </c>
      <c r="L27" s="339">
        <v>2137</v>
      </c>
      <c r="M27" s="339">
        <v>2137</v>
      </c>
      <c r="N27" s="339">
        <v>2137</v>
      </c>
      <c r="O27" s="339">
        <v>2137</v>
      </c>
      <c r="P27" s="339">
        <v>2137</v>
      </c>
    </row>
    <row r="28" spans="1:16" ht="12.75">
      <c r="A28" s="146">
        <v>17</v>
      </c>
      <c r="B28" s="328" t="s">
        <v>886</v>
      </c>
      <c r="C28" s="215">
        <f>'AT-3'!F25</f>
        <v>2389</v>
      </c>
      <c r="D28" s="339">
        <v>2050</v>
      </c>
      <c r="E28" s="339">
        <v>2050</v>
      </c>
      <c r="F28" s="339">
        <v>2050</v>
      </c>
      <c r="G28" s="339">
        <v>2050</v>
      </c>
      <c r="H28" s="339">
        <v>2050</v>
      </c>
      <c r="I28" s="339">
        <v>2050</v>
      </c>
      <c r="J28" s="339">
        <v>2050</v>
      </c>
      <c r="K28" s="339">
        <v>2050</v>
      </c>
      <c r="L28" s="339">
        <v>2050</v>
      </c>
      <c r="M28" s="339">
        <v>2050</v>
      </c>
      <c r="N28" s="339">
        <v>2050</v>
      </c>
      <c r="O28" s="339">
        <v>2050</v>
      </c>
      <c r="P28" s="339">
        <v>2050</v>
      </c>
    </row>
    <row r="29" spans="1:16" ht="12.75">
      <c r="A29" s="146">
        <v>18</v>
      </c>
      <c r="B29" s="328" t="s">
        <v>887</v>
      </c>
      <c r="C29" s="215">
        <f>'AT-3'!F26</f>
        <v>2849</v>
      </c>
      <c r="D29" s="339">
        <v>2849</v>
      </c>
      <c r="E29" s="339">
        <v>2849</v>
      </c>
      <c r="F29" s="339">
        <v>2849</v>
      </c>
      <c r="G29" s="339">
        <v>2849</v>
      </c>
      <c r="H29" s="339">
        <v>2849</v>
      </c>
      <c r="I29" s="339">
        <v>2849</v>
      </c>
      <c r="J29" s="339">
        <v>2849</v>
      </c>
      <c r="K29" s="339">
        <v>2849</v>
      </c>
      <c r="L29" s="339">
        <v>2849</v>
      </c>
      <c r="M29" s="339">
        <v>2849</v>
      </c>
      <c r="N29" s="339">
        <v>2849</v>
      </c>
      <c r="O29" s="339">
        <v>2849</v>
      </c>
      <c r="P29" s="339">
        <v>2849</v>
      </c>
    </row>
    <row r="30" spans="1:16" ht="12.75">
      <c r="A30" s="146">
        <v>19</v>
      </c>
      <c r="B30" s="328" t="s">
        <v>888</v>
      </c>
      <c r="C30" s="215">
        <f>'AT-3'!F27</f>
        <v>3021</v>
      </c>
      <c r="D30" s="339">
        <v>2990</v>
      </c>
      <c r="E30" s="339">
        <v>2990</v>
      </c>
      <c r="F30" s="339">
        <v>2990</v>
      </c>
      <c r="G30" s="339">
        <v>2990</v>
      </c>
      <c r="H30" s="339">
        <v>2990</v>
      </c>
      <c r="I30" s="339">
        <v>2990</v>
      </c>
      <c r="J30" s="339">
        <v>2990</v>
      </c>
      <c r="K30" s="339">
        <v>2990</v>
      </c>
      <c r="L30" s="339">
        <v>2990</v>
      </c>
      <c r="M30" s="339">
        <v>2990</v>
      </c>
      <c r="N30" s="339">
        <v>2990</v>
      </c>
      <c r="O30" s="339">
        <v>2990</v>
      </c>
      <c r="P30" s="339">
        <v>2990</v>
      </c>
    </row>
    <row r="31" spans="1:16" ht="12.75">
      <c r="A31" s="146">
        <v>20</v>
      </c>
      <c r="B31" s="328" t="s">
        <v>889</v>
      </c>
      <c r="C31" s="215">
        <f>'AT-3'!F28</f>
        <v>1705</v>
      </c>
      <c r="D31" s="339">
        <v>1705</v>
      </c>
      <c r="E31" s="339">
        <v>1705</v>
      </c>
      <c r="F31" s="339">
        <v>1705</v>
      </c>
      <c r="G31" s="339">
        <v>1705</v>
      </c>
      <c r="H31" s="339">
        <v>1705</v>
      </c>
      <c r="I31" s="339">
        <v>1705</v>
      </c>
      <c r="J31" s="339">
        <v>1705</v>
      </c>
      <c r="K31" s="339">
        <v>1705</v>
      </c>
      <c r="L31" s="339">
        <v>1705</v>
      </c>
      <c r="M31" s="339">
        <v>1705</v>
      </c>
      <c r="N31" s="339">
        <v>1705</v>
      </c>
      <c r="O31" s="339">
        <v>1705</v>
      </c>
      <c r="P31" s="339">
        <v>1705</v>
      </c>
    </row>
    <row r="32" spans="1:16" ht="12.75">
      <c r="A32" s="146">
        <v>21</v>
      </c>
      <c r="B32" s="328" t="s">
        <v>890</v>
      </c>
      <c r="C32" s="215">
        <f>'AT-3'!F29</f>
        <v>4449</v>
      </c>
      <c r="D32" s="339">
        <v>4449</v>
      </c>
      <c r="E32" s="339">
        <v>4449</v>
      </c>
      <c r="F32" s="339">
        <v>4449</v>
      </c>
      <c r="G32" s="339">
        <v>4449</v>
      </c>
      <c r="H32" s="339">
        <v>4449</v>
      </c>
      <c r="I32" s="339">
        <v>4449</v>
      </c>
      <c r="J32" s="339">
        <v>4449</v>
      </c>
      <c r="K32" s="339">
        <v>4449</v>
      </c>
      <c r="L32" s="339">
        <v>4449</v>
      </c>
      <c r="M32" s="339">
        <v>4449</v>
      </c>
      <c r="N32" s="339">
        <v>4449</v>
      </c>
      <c r="O32" s="339">
        <v>4449</v>
      </c>
      <c r="P32" s="339">
        <v>4449</v>
      </c>
    </row>
    <row r="33" spans="1:16" ht="12.75">
      <c r="A33" s="146">
        <v>22</v>
      </c>
      <c r="B33" s="328" t="s">
        <v>891</v>
      </c>
      <c r="C33" s="215">
        <f>'AT-3'!F30</f>
        <v>1548</v>
      </c>
      <c r="D33" s="339">
        <v>1548</v>
      </c>
      <c r="E33" s="339">
        <v>1548</v>
      </c>
      <c r="F33" s="339">
        <v>1548</v>
      </c>
      <c r="G33" s="339">
        <v>1548</v>
      </c>
      <c r="H33" s="339">
        <v>1548</v>
      </c>
      <c r="I33" s="339">
        <v>1548</v>
      </c>
      <c r="J33" s="339">
        <v>1548</v>
      </c>
      <c r="K33" s="339">
        <v>1548</v>
      </c>
      <c r="L33" s="339">
        <v>1548</v>
      </c>
      <c r="M33" s="339">
        <v>1548</v>
      </c>
      <c r="N33" s="339">
        <v>1548</v>
      </c>
      <c r="O33" s="339">
        <v>1548</v>
      </c>
      <c r="P33" s="339">
        <v>1548</v>
      </c>
    </row>
    <row r="34" spans="1:16" ht="12.75">
      <c r="A34" s="146">
        <v>23</v>
      </c>
      <c r="B34" s="328" t="s">
        <v>892</v>
      </c>
      <c r="C34" s="215">
        <f>'AT-3'!F31</f>
        <v>1583</v>
      </c>
      <c r="D34" s="339">
        <v>1583</v>
      </c>
      <c r="E34" s="339">
        <v>1583</v>
      </c>
      <c r="F34" s="339">
        <v>1583</v>
      </c>
      <c r="G34" s="339">
        <v>1583</v>
      </c>
      <c r="H34" s="339">
        <v>1583</v>
      </c>
      <c r="I34" s="339">
        <v>1583</v>
      </c>
      <c r="J34" s="339">
        <v>1583</v>
      </c>
      <c r="K34" s="339">
        <v>1583</v>
      </c>
      <c r="L34" s="339">
        <v>1583</v>
      </c>
      <c r="M34" s="339">
        <v>1583</v>
      </c>
      <c r="N34" s="339">
        <v>1583</v>
      </c>
      <c r="O34" s="339">
        <v>1583</v>
      </c>
      <c r="P34" s="339">
        <v>1583</v>
      </c>
    </row>
    <row r="35" spans="1:16" ht="12.75">
      <c r="A35" s="146">
        <v>24</v>
      </c>
      <c r="B35" s="328" t="s">
        <v>893</v>
      </c>
      <c r="C35" s="215">
        <f>'AT-3'!F32</f>
        <v>5432</v>
      </c>
      <c r="D35" s="339">
        <v>5432</v>
      </c>
      <c r="E35" s="339">
        <v>5432</v>
      </c>
      <c r="F35" s="339">
        <v>5432</v>
      </c>
      <c r="G35" s="339">
        <v>5432</v>
      </c>
      <c r="H35" s="339">
        <v>5432</v>
      </c>
      <c r="I35" s="339">
        <v>5432</v>
      </c>
      <c r="J35" s="339">
        <v>5432</v>
      </c>
      <c r="K35" s="339">
        <v>5432</v>
      </c>
      <c r="L35" s="339">
        <v>5432</v>
      </c>
      <c r="M35" s="339">
        <v>5432</v>
      </c>
      <c r="N35" s="339">
        <v>5432</v>
      </c>
      <c r="O35" s="339">
        <v>5432</v>
      </c>
      <c r="P35" s="339">
        <v>5432</v>
      </c>
    </row>
    <row r="36" spans="1:16" ht="12.75">
      <c r="A36" s="146">
        <v>25</v>
      </c>
      <c r="B36" s="328" t="s">
        <v>894</v>
      </c>
      <c r="C36" s="215">
        <f>'AT-3'!F33</f>
        <v>3208</v>
      </c>
      <c r="D36" s="339">
        <v>3208</v>
      </c>
      <c r="E36" s="339">
        <v>3208</v>
      </c>
      <c r="F36" s="339">
        <v>3208</v>
      </c>
      <c r="G36" s="339">
        <v>3208</v>
      </c>
      <c r="H36" s="339">
        <v>3208</v>
      </c>
      <c r="I36" s="339">
        <v>3208</v>
      </c>
      <c r="J36" s="339">
        <v>3208</v>
      </c>
      <c r="K36" s="339">
        <v>3208</v>
      </c>
      <c r="L36" s="339">
        <v>3208</v>
      </c>
      <c r="M36" s="339">
        <v>3208</v>
      </c>
      <c r="N36" s="339">
        <v>3208</v>
      </c>
      <c r="O36" s="339">
        <v>3208</v>
      </c>
      <c r="P36" s="339">
        <v>3208</v>
      </c>
    </row>
    <row r="37" spans="1:16" ht="12.75">
      <c r="A37" s="146">
        <v>26</v>
      </c>
      <c r="B37" s="328" t="s">
        <v>895</v>
      </c>
      <c r="C37" s="215">
        <f>'AT-3'!F34</f>
        <v>3076</v>
      </c>
      <c r="D37" s="339">
        <v>3076</v>
      </c>
      <c r="E37" s="339">
        <v>3076</v>
      </c>
      <c r="F37" s="339">
        <v>3076</v>
      </c>
      <c r="G37" s="339">
        <v>3076</v>
      </c>
      <c r="H37" s="339">
        <v>3076</v>
      </c>
      <c r="I37" s="339">
        <v>3076</v>
      </c>
      <c r="J37" s="339">
        <v>3076</v>
      </c>
      <c r="K37" s="339">
        <v>3076</v>
      </c>
      <c r="L37" s="339">
        <v>3076</v>
      </c>
      <c r="M37" s="339">
        <v>3076</v>
      </c>
      <c r="N37" s="339">
        <v>3076</v>
      </c>
      <c r="O37" s="339">
        <v>3076</v>
      </c>
      <c r="P37" s="339">
        <v>3076</v>
      </c>
    </row>
    <row r="38" spans="1:16" ht="12.75">
      <c r="A38" s="146">
        <v>27</v>
      </c>
      <c r="B38" s="328" t="s">
        <v>896</v>
      </c>
      <c r="C38" s="215">
        <f>'AT-3'!F35</f>
        <v>2515</v>
      </c>
      <c r="D38" s="339">
        <v>2515</v>
      </c>
      <c r="E38" s="339">
        <v>2515</v>
      </c>
      <c r="F38" s="339">
        <v>2515</v>
      </c>
      <c r="G38" s="339">
        <v>2515</v>
      </c>
      <c r="H38" s="339">
        <v>2515</v>
      </c>
      <c r="I38" s="339">
        <v>2515</v>
      </c>
      <c r="J38" s="339">
        <v>2515</v>
      </c>
      <c r="K38" s="339">
        <v>2515</v>
      </c>
      <c r="L38" s="339">
        <v>2515</v>
      </c>
      <c r="M38" s="339">
        <v>2515</v>
      </c>
      <c r="N38" s="339">
        <v>2515</v>
      </c>
      <c r="O38" s="339">
        <v>2515</v>
      </c>
      <c r="P38" s="339">
        <v>2515</v>
      </c>
    </row>
    <row r="39" spans="1:16" ht="12.75">
      <c r="A39" s="146">
        <v>28</v>
      </c>
      <c r="B39" s="328" t="s">
        <v>897</v>
      </c>
      <c r="C39" s="215">
        <f>'AT-3'!F36</f>
        <v>3436</v>
      </c>
      <c r="D39" s="339">
        <v>3420</v>
      </c>
      <c r="E39" s="339">
        <v>3420</v>
      </c>
      <c r="F39" s="339">
        <v>3420</v>
      </c>
      <c r="G39" s="339">
        <v>3420</v>
      </c>
      <c r="H39" s="339">
        <v>3420</v>
      </c>
      <c r="I39" s="339">
        <v>3420</v>
      </c>
      <c r="J39" s="339">
        <v>3420</v>
      </c>
      <c r="K39" s="339">
        <v>3420</v>
      </c>
      <c r="L39" s="339">
        <v>3420</v>
      </c>
      <c r="M39" s="339">
        <v>3420</v>
      </c>
      <c r="N39" s="339">
        <v>3420</v>
      </c>
      <c r="O39" s="339">
        <v>3420</v>
      </c>
      <c r="P39" s="339">
        <v>3420</v>
      </c>
    </row>
    <row r="40" spans="1:16" ht="12.75">
      <c r="A40" s="146">
        <v>29</v>
      </c>
      <c r="B40" s="328" t="s">
        <v>898</v>
      </c>
      <c r="C40" s="215">
        <f>'AT-3'!F37</f>
        <v>1670</v>
      </c>
      <c r="D40" s="339">
        <v>1670</v>
      </c>
      <c r="E40" s="339">
        <v>1670</v>
      </c>
      <c r="F40" s="339">
        <v>1670</v>
      </c>
      <c r="G40" s="339">
        <v>1670</v>
      </c>
      <c r="H40" s="339">
        <v>1670</v>
      </c>
      <c r="I40" s="339">
        <v>1670</v>
      </c>
      <c r="J40" s="339">
        <v>1670</v>
      </c>
      <c r="K40" s="339">
        <v>1670</v>
      </c>
      <c r="L40" s="339">
        <v>1670</v>
      </c>
      <c r="M40" s="339">
        <v>1670</v>
      </c>
      <c r="N40" s="339">
        <v>1670</v>
      </c>
      <c r="O40" s="339">
        <v>1670</v>
      </c>
      <c r="P40" s="339">
        <v>1670</v>
      </c>
    </row>
    <row r="41" spans="1:16" ht="12.75">
      <c r="A41" s="146">
        <v>30</v>
      </c>
      <c r="B41" s="328" t="s">
        <v>899</v>
      </c>
      <c r="C41" s="215">
        <f>'AT-3'!F38</f>
        <v>4073</v>
      </c>
      <c r="D41" s="339">
        <v>4080</v>
      </c>
      <c r="E41" s="339">
        <v>4079</v>
      </c>
      <c r="F41" s="339">
        <v>4079</v>
      </c>
      <c r="G41" s="339">
        <v>4079</v>
      </c>
      <c r="H41" s="339">
        <v>4079</v>
      </c>
      <c r="I41" s="339">
        <v>4079</v>
      </c>
      <c r="J41" s="339">
        <v>4079</v>
      </c>
      <c r="K41" s="339">
        <v>4079</v>
      </c>
      <c r="L41" s="339">
        <v>4079</v>
      </c>
      <c r="M41" s="339">
        <v>4079</v>
      </c>
      <c r="N41" s="339">
        <v>4079</v>
      </c>
      <c r="O41" s="339">
        <v>4079</v>
      </c>
      <c r="P41" s="339">
        <v>4079</v>
      </c>
    </row>
    <row r="42" spans="1:16" ht="12.75">
      <c r="A42" s="146">
        <v>31</v>
      </c>
      <c r="B42" s="328" t="s">
        <v>900</v>
      </c>
      <c r="C42" s="215">
        <f>'AT-3'!F39</f>
        <v>2785</v>
      </c>
      <c r="D42" s="339">
        <v>5122</v>
      </c>
      <c r="E42" s="339">
        <v>5122</v>
      </c>
      <c r="F42" s="339">
        <v>5122</v>
      </c>
      <c r="G42" s="339">
        <v>5122</v>
      </c>
      <c r="H42" s="339">
        <v>5122</v>
      </c>
      <c r="I42" s="339">
        <v>5122</v>
      </c>
      <c r="J42" s="339">
        <v>5122</v>
      </c>
      <c r="K42" s="339">
        <v>5122</v>
      </c>
      <c r="L42" s="339">
        <v>5122</v>
      </c>
      <c r="M42" s="339">
        <v>5122</v>
      </c>
      <c r="N42" s="339">
        <v>5122</v>
      </c>
      <c r="O42" s="339">
        <v>5122</v>
      </c>
      <c r="P42" s="339">
        <v>5122</v>
      </c>
    </row>
    <row r="43" spans="1:16" ht="12.75">
      <c r="A43" s="146">
        <v>32</v>
      </c>
      <c r="B43" s="328" t="s">
        <v>901</v>
      </c>
      <c r="C43" s="215">
        <v>2393</v>
      </c>
      <c r="D43" s="985" t="s">
        <v>911</v>
      </c>
      <c r="E43" s="986"/>
      <c r="F43" s="986"/>
      <c r="G43" s="986"/>
      <c r="H43" s="986"/>
      <c r="I43" s="986"/>
      <c r="J43" s="986"/>
      <c r="K43" s="986"/>
      <c r="L43" s="986"/>
      <c r="M43" s="986"/>
      <c r="N43" s="337"/>
      <c r="O43" s="138"/>
      <c r="P43" s="138"/>
    </row>
    <row r="44" spans="1:16" ht="12.75">
      <c r="A44" s="146">
        <v>33</v>
      </c>
      <c r="B44" s="328" t="s">
        <v>902</v>
      </c>
      <c r="C44" s="215">
        <f>'AT-3'!F41</f>
        <v>1246</v>
      </c>
      <c r="D44" s="339">
        <v>1253</v>
      </c>
      <c r="E44" s="339">
        <v>1253</v>
      </c>
      <c r="F44" s="339">
        <v>1253</v>
      </c>
      <c r="G44" s="339">
        <v>1253</v>
      </c>
      <c r="H44" s="339">
        <v>1253</v>
      </c>
      <c r="I44" s="339">
        <v>1253</v>
      </c>
      <c r="J44" s="339">
        <v>1253</v>
      </c>
      <c r="K44" s="339">
        <v>1253</v>
      </c>
      <c r="L44" s="339">
        <v>1253</v>
      </c>
      <c r="M44" s="339">
        <v>1253</v>
      </c>
      <c r="N44" s="339">
        <v>1253</v>
      </c>
      <c r="O44" s="339">
        <v>1253</v>
      </c>
      <c r="P44" s="339">
        <v>1253</v>
      </c>
    </row>
    <row r="45" spans="1:16" ht="12.75">
      <c r="A45" s="146">
        <v>34</v>
      </c>
      <c r="B45" s="328" t="s">
        <v>903</v>
      </c>
      <c r="C45" s="215">
        <f>'AT-3'!F42</f>
        <v>1110</v>
      </c>
      <c r="D45" s="339">
        <v>1110</v>
      </c>
      <c r="E45" s="339">
        <v>1110</v>
      </c>
      <c r="F45" s="339">
        <v>1110</v>
      </c>
      <c r="G45" s="339">
        <v>1110</v>
      </c>
      <c r="H45" s="339">
        <v>1110</v>
      </c>
      <c r="I45" s="339">
        <v>1110</v>
      </c>
      <c r="J45" s="339">
        <v>1110</v>
      </c>
      <c r="K45" s="339">
        <v>1110</v>
      </c>
      <c r="L45" s="339">
        <v>1110</v>
      </c>
      <c r="M45" s="339">
        <v>1110</v>
      </c>
      <c r="N45" s="337">
        <v>1110</v>
      </c>
      <c r="O45" s="138">
        <v>1110</v>
      </c>
      <c r="P45" s="138">
        <v>1110</v>
      </c>
    </row>
    <row r="46" spans="1:16" ht="12.75">
      <c r="A46" s="146">
        <v>35</v>
      </c>
      <c r="B46" s="328" t="s">
        <v>904</v>
      </c>
      <c r="C46" s="215">
        <f>'AT-3'!F43</f>
        <v>2782</v>
      </c>
      <c r="D46" s="339">
        <v>2782</v>
      </c>
      <c r="E46" s="339">
        <v>2782</v>
      </c>
      <c r="F46" s="339">
        <v>2782</v>
      </c>
      <c r="G46" s="339">
        <v>2782</v>
      </c>
      <c r="H46" s="339">
        <v>2782</v>
      </c>
      <c r="I46" s="339">
        <v>2782</v>
      </c>
      <c r="J46" s="339">
        <v>2782</v>
      </c>
      <c r="K46" s="339">
        <v>2782</v>
      </c>
      <c r="L46" s="339">
        <v>2782</v>
      </c>
      <c r="M46" s="339">
        <v>2782</v>
      </c>
      <c r="N46" s="337">
        <v>2782</v>
      </c>
      <c r="O46" s="138">
        <v>2782</v>
      </c>
      <c r="P46" s="138">
        <v>2782</v>
      </c>
    </row>
    <row r="47" spans="1:16" ht="12.75">
      <c r="A47" s="144" t="s">
        <v>19</v>
      </c>
      <c r="B47" s="144"/>
      <c r="C47" s="144">
        <f>SUM(C12:C46)</f>
        <v>86780</v>
      </c>
      <c r="D47" s="144">
        <f>SUM(D12:D46)</f>
        <v>86237</v>
      </c>
      <c r="E47" s="144">
        <v>86237</v>
      </c>
      <c r="F47" s="144">
        <v>86237</v>
      </c>
      <c r="G47" s="144">
        <v>86237</v>
      </c>
      <c r="H47" s="144">
        <v>86237</v>
      </c>
      <c r="I47" s="144">
        <v>86237</v>
      </c>
      <c r="J47" s="144">
        <v>86237</v>
      </c>
      <c r="K47" s="144">
        <v>86237</v>
      </c>
      <c r="L47" s="144">
        <v>86237</v>
      </c>
      <c r="M47" s="144">
        <v>86237</v>
      </c>
      <c r="N47" s="144">
        <v>86237</v>
      </c>
      <c r="O47" s="144">
        <v>86237</v>
      </c>
      <c r="P47" s="144">
        <v>86237</v>
      </c>
    </row>
    <row r="50" spans="3:13" ht="12.75" customHeight="1">
      <c r="C50" s="748" t="s">
        <v>1021</v>
      </c>
      <c r="D50" s="748"/>
      <c r="E50" s="748"/>
      <c r="F50" s="748"/>
      <c r="G50"/>
      <c r="H50"/>
      <c r="I50" s="204"/>
      <c r="J50" s="748" t="s">
        <v>1024</v>
      </c>
      <c r="K50" s="748"/>
      <c r="L50" s="748"/>
      <c r="M50" s="748"/>
    </row>
    <row r="51" spans="3:13" ht="12.75" customHeight="1">
      <c r="C51" s="748" t="s">
        <v>1022</v>
      </c>
      <c r="D51" s="748"/>
      <c r="E51" s="748"/>
      <c r="F51" s="748"/>
      <c r="G51"/>
      <c r="H51"/>
      <c r="I51" s="217"/>
      <c r="J51" s="748" t="s">
        <v>1025</v>
      </c>
      <c r="K51" s="748"/>
      <c r="L51" s="748"/>
      <c r="M51" s="748"/>
    </row>
    <row r="52" spans="3:13" ht="12.75">
      <c r="C52" s="735" t="s">
        <v>1023</v>
      </c>
      <c r="D52" s="735"/>
      <c r="E52" s="735"/>
      <c r="F52" s="735"/>
      <c r="G52"/>
      <c r="H52"/>
      <c r="I52" s="217"/>
      <c r="J52" s="735" t="s">
        <v>1023</v>
      </c>
      <c r="K52" s="735"/>
      <c r="L52" s="735"/>
      <c r="M52" s="735"/>
    </row>
    <row r="53" spans="1:11" ht="12.75">
      <c r="A53" s="203" t="s">
        <v>12</v>
      </c>
      <c r="C53"/>
      <c r="D53"/>
      <c r="E53"/>
      <c r="F53"/>
      <c r="G53"/>
      <c r="H53"/>
      <c r="I53" s="208"/>
      <c r="J53" s="208"/>
      <c r="K53" s="208"/>
    </row>
  </sheetData>
  <sheetProtection/>
  <mergeCells count="17">
    <mergeCell ref="H1:I1"/>
    <mergeCell ref="A3:M3"/>
    <mergeCell ref="A4:M4"/>
    <mergeCell ref="A9:A10"/>
    <mergeCell ref="B9:B10"/>
    <mergeCell ref="D2:G2"/>
    <mergeCell ref="C9:C10"/>
    <mergeCell ref="J51:M51"/>
    <mergeCell ref="C52:F52"/>
    <mergeCell ref="J52:M52"/>
    <mergeCell ref="D9:D10"/>
    <mergeCell ref="K8:P8"/>
    <mergeCell ref="E9:P9"/>
    <mergeCell ref="C50:F50"/>
    <mergeCell ref="J50:M50"/>
    <mergeCell ref="C51:F51"/>
    <mergeCell ref="D43:M4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SheetLayoutView="90" zoomScalePageLayoutView="0" workbookViewId="0" topLeftCell="A1">
      <pane xSplit="3" ySplit="11" topLeftCell="D4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C52" sqref="C52:M54"/>
    </sheetView>
  </sheetViews>
  <sheetFormatPr defaultColWidth="9.140625" defaultRowHeight="12.75"/>
  <cols>
    <col min="1" max="1" width="8.57421875" style="579" customWidth="1"/>
    <col min="2" max="2" width="17.8515625" style="579" customWidth="1"/>
    <col min="3" max="3" width="11.140625" style="579" customWidth="1"/>
    <col min="4" max="4" width="17.140625" style="579" customWidth="1"/>
    <col min="5" max="6" width="9.140625" style="579" customWidth="1"/>
    <col min="7" max="7" width="7.8515625" style="579" customWidth="1"/>
    <col min="8" max="8" width="8.421875" style="579" customWidth="1"/>
    <col min="9" max="9" width="9.28125" style="579" customWidth="1"/>
    <col min="10" max="10" width="10.28125" style="579" customWidth="1"/>
    <col min="11" max="11" width="9.140625" style="579" customWidth="1"/>
    <col min="12" max="12" width="10.140625" style="579" customWidth="1"/>
    <col min="13" max="13" width="11.00390625" style="579" customWidth="1"/>
    <col min="14" max="16384" width="9.140625" style="579" customWidth="1"/>
  </cols>
  <sheetData>
    <row r="1" spans="1:13" ht="12.75">
      <c r="A1" s="579" t="s">
        <v>11</v>
      </c>
      <c r="H1" s="990"/>
      <c r="I1" s="990"/>
      <c r="L1" s="993" t="s">
        <v>566</v>
      </c>
      <c r="M1" s="993"/>
    </row>
    <row r="2" spans="3:12" ht="12.75">
      <c r="C2" s="990" t="s">
        <v>697</v>
      </c>
      <c r="D2" s="990"/>
      <c r="E2" s="990"/>
      <c r="F2" s="990"/>
      <c r="G2" s="990"/>
      <c r="H2" s="990"/>
      <c r="I2" s="990"/>
      <c r="J2" s="990"/>
      <c r="L2" s="580"/>
    </row>
    <row r="3" spans="1:13" s="581" customFormat="1" ht="15.75">
      <c r="A3" s="994" t="s">
        <v>696</v>
      </c>
      <c r="B3" s="994"/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</row>
    <row r="4" spans="1:13" s="581" customFormat="1" ht="20.25" customHeight="1">
      <c r="A4" s="994" t="s">
        <v>698</v>
      </c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</row>
    <row r="6" spans="1:10" ht="12.75">
      <c r="A6" s="208" t="s">
        <v>1020</v>
      </c>
      <c r="B6" s="208"/>
      <c r="C6" s="209"/>
      <c r="D6" s="582"/>
      <c r="E6" s="582"/>
      <c r="F6" s="582"/>
      <c r="G6" s="582"/>
      <c r="H6" s="582"/>
      <c r="I6" s="582"/>
      <c r="J6" s="582"/>
    </row>
    <row r="8" spans="1:16" s="583" customFormat="1" ht="15" customHeight="1">
      <c r="A8" s="579"/>
      <c r="B8" s="579"/>
      <c r="C8" s="579"/>
      <c r="D8" s="579"/>
      <c r="E8" s="579"/>
      <c r="F8" s="579"/>
      <c r="G8" s="579"/>
      <c r="H8" s="579"/>
      <c r="I8" s="579"/>
      <c r="J8" s="579"/>
      <c r="K8" s="992" t="s">
        <v>820</v>
      </c>
      <c r="L8" s="992"/>
      <c r="M8" s="992"/>
      <c r="N8" s="992"/>
      <c r="O8" s="992"/>
      <c r="P8" s="992"/>
    </row>
    <row r="9" spans="1:16" s="583" customFormat="1" ht="20.25" customHeight="1">
      <c r="A9" s="995" t="s">
        <v>2</v>
      </c>
      <c r="B9" s="995" t="s">
        <v>3</v>
      </c>
      <c r="C9" s="921" t="s">
        <v>281</v>
      </c>
      <c r="D9" s="921" t="s">
        <v>565</v>
      </c>
      <c r="E9" s="991" t="s">
        <v>745</v>
      </c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</row>
    <row r="10" spans="1:16" s="583" customFormat="1" ht="35.25" customHeight="1">
      <c r="A10" s="996"/>
      <c r="B10" s="996"/>
      <c r="C10" s="922"/>
      <c r="D10" s="922"/>
      <c r="E10" s="292" t="s">
        <v>833</v>
      </c>
      <c r="F10" s="292" t="s">
        <v>284</v>
      </c>
      <c r="G10" s="292" t="s">
        <v>285</v>
      </c>
      <c r="H10" s="292" t="s">
        <v>286</v>
      </c>
      <c r="I10" s="292" t="s">
        <v>287</v>
      </c>
      <c r="J10" s="292" t="s">
        <v>288</v>
      </c>
      <c r="K10" s="292" t="s">
        <v>289</v>
      </c>
      <c r="L10" s="292" t="s">
        <v>290</v>
      </c>
      <c r="M10" s="292" t="s">
        <v>834</v>
      </c>
      <c r="N10" s="292" t="s">
        <v>835</v>
      </c>
      <c r="O10" s="292" t="s">
        <v>831</v>
      </c>
      <c r="P10" s="292" t="s">
        <v>832</v>
      </c>
    </row>
    <row r="11" spans="1:16" s="583" customFormat="1" ht="12.75" customHeight="1">
      <c r="A11" s="584">
        <v>1</v>
      </c>
      <c r="B11" s="584">
        <v>2</v>
      </c>
      <c r="C11" s="584">
        <v>3</v>
      </c>
      <c r="D11" s="584">
        <v>4</v>
      </c>
      <c r="E11" s="584">
        <v>5</v>
      </c>
      <c r="F11" s="584">
        <v>6</v>
      </c>
      <c r="G11" s="584">
        <v>7</v>
      </c>
      <c r="H11" s="584">
        <v>8</v>
      </c>
      <c r="I11" s="584">
        <v>9</v>
      </c>
      <c r="J11" s="584">
        <v>10</v>
      </c>
      <c r="K11" s="584">
        <v>11</v>
      </c>
      <c r="L11" s="584">
        <v>12</v>
      </c>
      <c r="M11" s="584">
        <v>13</v>
      </c>
      <c r="N11" s="584">
        <v>14</v>
      </c>
      <c r="O11" s="584">
        <v>15</v>
      </c>
      <c r="P11" s="584">
        <v>16</v>
      </c>
    </row>
    <row r="12" spans="1:16" ht="12.75">
      <c r="A12" s="585">
        <v>1</v>
      </c>
      <c r="B12" s="578" t="s">
        <v>870</v>
      </c>
      <c r="C12" s="586">
        <f>'[1]AT-3'!F9</f>
        <v>4538</v>
      </c>
      <c r="D12" s="586">
        <v>4538</v>
      </c>
      <c r="E12" s="587">
        <v>3854.319290159023</v>
      </c>
      <c r="F12" s="586"/>
      <c r="G12" s="587">
        <v>3721.024037796727</v>
      </c>
      <c r="H12" s="587">
        <v>4074.578059460705</v>
      </c>
      <c r="I12" s="587">
        <v>4123.315280018437</v>
      </c>
      <c r="J12" s="587">
        <v>4066.315740954137</v>
      </c>
      <c r="K12" s="587">
        <v>3761.6558193132055</v>
      </c>
      <c r="L12" s="587">
        <v>3704.7608665591147</v>
      </c>
      <c r="M12" s="587">
        <v>3674.6400092187137</v>
      </c>
      <c r="N12" s="587">
        <v>3813.478336022125</v>
      </c>
      <c r="O12" s="587">
        <v>3834.8662364600136</v>
      </c>
      <c r="P12" s="587">
        <v>3328.407029269417</v>
      </c>
    </row>
    <row r="13" spans="1:16" ht="12.75">
      <c r="A13" s="585">
        <v>2</v>
      </c>
      <c r="B13" s="578" t="s">
        <v>871</v>
      </c>
      <c r="C13" s="586">
        <f>'[1]AT-3'!F10</f>
        <v>1430</v>
      </c>
      <c r="D13" s="588">
        <v>1430</v>
      </c>
      <c r="E13" s="587">
        <v>1214.5607282784053</v>
      </c>
      <c r="F13" s="588"/>
      <c r="G13" s="589">
        <v>1172.5571560267344</v>
      </c>
      <c r="H13" s="589">
        <v>1283.9679649688871</v>
      </c>
      <c r="I13" s="589">
        <v>1299.3258815395254</v>
      </c>
      <c r="J13" s="589">
        <v>1281.3643696704312</v>
      </c>
      <c r="K13" s="589">
        <v>1185.360912652685</v>
      </c>
      <c r="L13" s="589">
        <v>1167.432357686103</v>
      </c>
      <c r="M13" s="589">
        <v>1157.9407697626184</v>
      </c>
      <c r="N13" s="589">
        <v>1201.6910578474306</v>
      </c>
      <c r="O13" s="589">
        <v>1208.4307444111548</v>
      </c>
      <c r="P13" s="589">
        <v>1048.8369439963126</v>
      </c>
    </row>
    <row r="14" spans="1:16" ht="12.75">
      <c r="A14" s="585">
        <v>3</v>
      </c>
      <c r="B14" s="578" t="s">
        <v>872</v>
      </c>
      <c r="C14" s="586">
        <f>'[1]AT-3'!F11</f>
        <v>2401</v>
      </c>
      <c r="D14" s="586">
        <v>2401</v>
      </c>
      <c r="E14" s="587">
        <v>2039.272943074441</v>
      </c>
      <c r="F14" s="586"/>
      <c r="G14" s="587">
        <v>1968.7480640700621</v>
      </c>
      <c r="H14" s="587">
        <v>2155.8091495736344</v>
      </c>
      <c r="I14" s="587">
        <v>2181.5954136897903</v>
      </c>
      <c r="J14" s="587">
        <v>2151.4376584466468</v>
      </c>
      <c r="K14" s="587">
        <v>1990.245840055312</v>
      </c>
      <c r="L14" s="587">
        <v>1960.14342014289</v>
      </c>
      <c r="M14" s="587">
        <v>1944.206844895137</v>
      </c>
      <c r="N14" s="587">
        <v>2017.6644964277482</v>
      </c>
      <c r="O14" s="587">
        <v>2028.9805715602672</v>
      </c>
      <c r="P14" s="587">
        <v>1761.0192325420603</v>
      </c>
    </row>
    <row r="15" spans="1:16" s="263" customFormat="1" ht="12.75" customHeight="1">
      <c r="A15" s="585">
        <v>4</v>
      </c>
      <c r="B15" s="578" t="s">
        <v>873</v>
      </c>
      <c r="C15" s="586">
        <f>'[1]AT-3'!F12</f>
        <v>2981</v>
      </c>
      <c r="D15" s="588">
        <v>2981</v>
      </c>
      <c r="E15" s="587">
        <v>2531.8919797188296</v>
      </c>
      <c r="F15" s="588"/>
      <c r="G15" s="589">
        <v>2444.3306867941924</v>
      </c>
      <c r="H15" s="589">
        <v>2676.579373127449</v>
      </c>
      <c r="I15" s="589">
        <v>2708.5947222862414</v>
      </c>
      <c r="J15" s="589">
        <v>2671.1518783129754</v>
      </c>
      <c r="K15" s="589">
        <v>2471.0215948375203</v>
      </c>
      <c r="L15" s="589">
        <v>2433.6474533302608</v>
      </c>
      <c r="M15" s="589">
        <v>2413.861143120535</v>
      </c>
      <c r="N15" s="589">
        <v>2505.0636667434896</v>
      </c>
      <c r="O15" s="589">
        <v>2519.1133210417147</v>
      </c>
      <c r="P15" s="589">
        <v>2186.4216294076978</v>
      </c>
    </row>
    <row r="16" spans="1:16" s="263" customFormat="1" ht="12.75" customHeight="1">
      <c r="A16" s="585">
        <v>5</v>
      </c>
      <c r="B16" s="578" t="s">
        <v>874</v>
      </c>
      <c r="C16" s="586">
        <f>'[1]AT-3'!F13</f>
        <v>3224</v>
      </c>
      <c r="D16" s="590">
        <v>3224</v>
      </c>
      <c r="E16" s="587">
        <v>2738.2823692094953</v>
      </c>
      <c r="F16" s="590"/>
      <c r="G16" s="591">
        <v>2643.583406314819</v>
      </c>
      <c r="H16" s="591">
        <v>2894.764139202581</v>
      </c>
      <c r="I16" s="591">
        <v>2929.3892601982025</v>
      </c>
      <c r="J16" s="591">
        <v>2888.8942152569716</v>
      </c>
      <c r="K16" s="591">
        <v>2672.4500576169626</v>
      </c>
      <c r="L16" s="591">
        <v>2632.0293155104864</v>
      </c>
      <c r="M16" s="591">
        <v>2610.6300991011753</v>
      </c>
      <c r="N16" s="591">
        <v>2709.267112237843</v>
      </c>
      <c r="O16" s="591">
        <v>2724.4620419451485</v>
      </c>
      <c r="P16" s="591">
        <v>2364.650564646232</v>
      </c>
    </row>
    <row r="17" spans="1:16" s="263" customFormat="1" ht="12.75" customHeight="1">
      <c r="A17" s="585">
        <v>6</v>
      </c>
      <c r="B17" s="578" t="s">
        <v>875</v>
      </c>
      <c r="C17" s="586">
        <f>'[1]AT-3'!F14</f>
        <v>1132</v>
      </c>
      <c r="D17" s="590">
        <v>1132</v>
      </c>
      <c r="E17" s="587">
        <v>961.4564646231852</v>
      </c>
      <c r="F17" s="590">
        <v>50</v>
      </c>
      <c r="G17" s="591">
        <v>928.2060843512331</v>
      </c>
      <c r="H17" s="591">
        <v>1016.3998156257203</v>
      </c>
      <c r="I17" s="591">
        <v>1028.5572712606593</v>
      </c>
      <c r="J17" s="591">
        <v>1014.3387877391104</v>
      </c>
      <c r="K17" s="591">
        <v>938.3416455404472</v>
      </c>
      <c r="L17" s="591">
        <v>924.1492509794884</v>
      </c>
      <c r="M17" s="591">
        <v>916.6356303295692</v>
      </c>
      <c r="N17" s="591">
        <v>951.2687255127911</v>
      </c>
      <c r="O17" s="591">
        <v>956.6039179534456</v>
      </c>
      <c r="P17" s="591">
        <v>830.2681262963818</v>
      </c>
    </row>
    <row r="18" spans="1:16" ht="12.75" customHeight="1">
      <c r="A18" s="585">
        <v>7</v>
      </c>
      <c r="B18" s="578" t="s">
        <v>876</v>
      </c>
      <c r="C18" s="586">
        <f>'[1]AT-3'!F15</f>
        <v>2013</v>
      </c>
      <c r="D18" s="588">
        <v>2013</v>
      </c>
      <c r="E18" s="587">
        <v>1709.727794422678</v>
      </c>
      <c r="F18" s="588"/>
      <c r="G18" s="589">
        <v>1650.5996888684028</v>
      </c>
      <c r="H18" s="589">
        <v>1807.4318276100485</v>
      </c>
      <c r="I18" s="589">
        <v>1829.0510486287164</v>
      </c>
      <c r="J18" s="589">
        <v>1803.7667665360682</v>
      </c>
      <c r="K18" s="589">
        <v>1668.6234385803182</v>
      </c>
      <c r="L18" s="589">
        <v>1643.3855496658216</v>
      </c>
      <c r="M18" s="589">
        <v>1630.0243143581472</v>
      </c>
      <c r="N18" s="589">
        <v>1691.6112583544596</v>
      </c>
      <c r="O18" s="589">
        <v>1701.0986632864717</v>
      </c>
      <c r="P18" s="589">
        <v>1476.439698087117</v>
      </c>
    </row>
    <row r="19" spans="1:16" ht="12.75">
      <c r="A19" s="585">
        <v>8</v>
      </c>
      <c r="B19" s="578" t="s">
        <v>877</v>
      </c>
      <c r="C19" s="586">
        <f>'[1]AT-3'!F16</f>
        <v>2035</v>
      </c>
      <c r="D19" s="588">
        <v>2035</v>
      </c>
      <c r="E19" s="587">
        <v>1728.4133440884998</v>
      </c>
      <c r="F19" s="588"/>
      <c r="G19" s="589">
        <v>1668.6390297303528</v>
      </c>
      <c r="H19" s="589">
        <v>1827.1851809172622</v>
      </c>
      <c r="I19" s="589">
        <v>1849.0406775754784</v>
      </c>
      <c r="J19" s="589">
        <v>1823.480064530998</v>
      </c>
      <c r="K19" s="589">
        <v>1686.8597603134365</v>
      </c>
      <c r="L19" s="589">
        <v>1661.3460474763772</v>
      </c>
      <c r="M19" s="589">
        <v>1647.8387877391106</v>
      </c>
      <c r="N19" s="589">
        <v>1710.098813090574</v>
      </c>
      <c r="O19" s="589">
        <v>1719.6899055081817</v>
      </c>
      <c r="P19" s="589">
        <v>1492.5756510716756</v>
      </c>
    </row>
    <row r="20" spans="1:16" ht="12.75">
      <c r="A20" s="585">
        <v>9</v>
      </c>
      <c r="B20" s="578" t="s">
        <v>878</v>
      </c>
      <c r="C20" s="586">
        <f>'[1]AT-3'!F17</f>
        <v>1682</v>
      </c>
      <c r="D20" s="588">
        <v>1682</v>
      </c>
      <c r="E20" s="587">
        <v>1428.5952062687254</v>
      </c>
      <c r="F20" s="588">
        <v>621</v>
      </c>
      <c r="G20" s="589">
        <v>1379.1896058999769</v>
      </c>
      <c r="H20" s="589">
        <v>1510.2336483060612</v>
      </c>
      <c r="I20" s="589">
        <v>1528.2979949297073</v>
      </c>
      <c r="J20" s="589">
        <v>1507.171237612353</v>
      </c>
      <c r="K20" s="589">
        <v>1394.249688868403</v>
      </c>
      <c r="L20" s="589">
        <v>1373.161696243374</v>
      </c>
      <c r="M20" s="589">
        <v>1361.997464853653</v>
      </c>
      <c r="N20" s="589">
        <v>1413.4575939156487</v>
      </c>
      <c r="O20" s="589">
        <v>1421.3849734961973</v>
      </c>
      <c r="P20" s="589">
        <v>1233.666950910348</v>
      </c>
    </row>
    <row r="21" spans="1:16" ht="12.75">
      <c r="A21" s="585">
        <v>10</v>
      </c>
      <c r="B21" s="578" t="s">
        <v>879</v>
      </c>
      <c r="C21" s="586">
        <f>'[1]AT-3'!F18</f>
        <v>1799</v>
      </c>
      <c r="D21" s="588">
        <v>1799</v>
      </c>
      <c r="E21" s="587">
        <v>1527.9683567642314</v>
      </c>
      <c r="F21" s="588"/>
      <c r="G21" s="589">
        <v>1475.1261004839826</v>
      </c>
      <c r="H21" s="589">
        <v>1615.2855727126066</v>
      </c>
      <c r="I21" s="589">
        <v>1634.6064761465775</v>
      </c>
      <c r="J21" s="589">
        <v>1612.0101405853884</v>
      </c>
      <c r="K21" s="589">
        <v>1491.233763539986</v>
      </c>
      <c r="L21" s="589">
        <v>1468.6788891449644</v>
      </c>
      <c r="M21" s="589">
        <v>1456.7380732887761</v>
      </c>
      <c r="N21" s="589">
        <v>1511.777771375893</v>
      </c>
      <c r="O21" s="589">
        <v>1520.25657985711</v>
      </c>
      <c r="P21" s="589">
        <v>1319.4808826918645</v>
      </c>
    </row>
    <row r="22" spans="1:16" ht="12.75">
      <c r="A22" s="585">
        <v>11</v>
      </c>
      <c r="B22" s="578" t="s">
        <v>880</v>
      </c>
      <c r="C22" s="586">
        <f>'[1]AT-3'!F19</f>
        <v>1374</v>
      </c>
      <c r="D22" s="588">
        <v>1374</v>
      </c>
      <c r="E22" s="587">
        <v>1166.9975109472227</v>
      </c>
      <c r="F22" s="588"/>
      <c r="G22" s="589">
        <v>1126.6388338326803</v>
      </c>
      <c r="H22" s="589">
        <v>1233.6867020050702</v>
      </c>
      <c r="I22" s="589">
        <v>1248.4431896750402</v>
      </c>
      <c r="J22" s="589">
        <v>1231.1850656833371</v>
      </c>
      <c r="K22" s="589">
        <v>1138.9411846047476</v>
      </c>
      <c r="L22" s="589">
        <v>1121.714726895598</v>
      </c>
      <c r="M22" s="589">
        <v>1112.5948375201658</v>
      </c>
      <c r="N22" s="589">
        <v>1154.6318276100483</v>
      </c>
      <c r="O22" s="589">
        <v>1161.1075823922563</v>
      </c>
      <c r="P22" s="589">
        <v>1007.7636091265268</v>
      </c>
    </row>
    <row r="23" spans="1:16" ht="12.75">
      <c r="A23" s="585">
        <v>12</v>
      </c>
      <c r="B23" s="578" t="s">
        <v>881</v>
      </c>
      <c r="C23" s="586">
        <f>'[1]AT-3'!F20</f>
        <v>1032</v>
      </c>
      <c r="D23" s="588">
        <v>1032</v>
      </c>
      <c r="E23" s="587">
        <v>876.5221479603596</v>
      </c>
      <c r="F23" s="588"/>
      <c r="G23" s="589">
        <v>846.2090804332796</v>
      </c>
      <c r="H23" s="589">
        <v>926.6118460474764</v>
      </c>
      <c r="I23" s="589">
        <v>937.6953215026505</v>
      </c>
      <c r="J23" s="589">
        <v>924.7328877621572</v>
      </c>
      <c r="K23" s="589">
        <v>855.4492740262734</v>
      </c>
      <c r="L23" s="589">
        <v>842.5106245678728</v>
      </c>
      <c r="M23" s="589">
        <v>835.6607513251902</v>
      </c>
      <c r="N23" s="589">
        <v>867.2343858031805</v>
      </c>
      <c r="O23" s="589">
        <v>872.0982714911271</v>
      </c>
      <c r="P23" s="589">
        <v>756.9228854574787</v>
      </c>
    </row>
    <row r="24" spans="1:16" ht="12.75">
      <c r="A24" s="585">
        <v>13</v>
      </c>
      <c r="B24" s="578" t="s">
        <v>882</v>
      </c>
      <c r="C24" s="586">
        <f>'[1]AT-3'!F21</f>
        <v>2748</v>
      </c>
      <c r="D24" s="588">
        <v>2748</v>
      </c>
      <c r="E24" s="587">
        <v>2333.9950218944455</v>
      </c>
      <c r="F24" s="588"/>
      <c r="G24" s="589">
        <v>2253.2776676653607</v>
      </c>
      <c r="H24" s="589">
        <v>2467.3734040101403</v>
      </c>
      <c r="I24" s="589">
        <v>2496.8863793500805</v>
      </c>
      <c r="J24" s="589">
        <v>2462.3701313666743</v>
      </c>
      <c r="K24" s="589">
        <v>2277.882369209495</v>
      </c>
      <c r="L24" s="589">
        <v>2243.429453791196</v>
      </c>
      <c r="M24" s="589">
        <v>2225.1896750403316</v>
      </c>
      <c r="N24" s="589">
        <v>2309.2636552200966</v>
      </c>
      <c r="O24" s="589">
        <v>2322.2151647845126</v>
      </c>
      <c r="P24" s="589">
        <v>2015.5272182530537</v>
      </c>
    </row>
    <row r="25" spans="1:16" ht="12.75">
      <c r="A25" s="585">
        <v>14</v>
      </c>
      <c r="B25" s="578" t="s">
        <v>883</v>
      </c>
      <c r="C25" s="586">
        <f>'[1]AT-3'!F22</f>
        <v>1923</v>
      </c>
      <c r="D25" s="588">
        <v>1923</v>
      </c>
      <c r="E25" s="587">
        <v>1633.2869094261353</v>
      </c>
      <c r="F25" s="588"/>
      <c r="G25" s="589">
        <v>1576.8023853422449</v>
      </c>
      <c r="H25" s="589">
        <v>1726.6226549896292</v>
      </c>
      <c r="I25" s="589">
        <v>1747.2752938465085</v>
      </c>
      <c r="J25" s="589">
        <v>1723.1214565568105</v>
      </c>
      <c r="K25" s="589">
        <v>1594.0203042175617</v>
      </c>
      <c r="L25" s="589">
        <v>1569.9107858953678</v>
      </c>
      <c r="M25" s="589">
        <v>1557.146923254206</v>
      </c>
      <c r="N25" s="589">
        <v>1615.9803526158103</v>
      </c>
      <c r="O25" s="589">
        <v>1625.043581470385</v>
      </c>
      <c r="P25" s="589">
        <v>1410.4289813321043</v>
      </c>
    </row>
    <row r="26" spans="1:16" ht="12.75">
      <c r="A26" s="585">
        <v>15</v>
      </c>
      <c r="B26" s="578" t="s">
        <v>884</v>
      </c>
      <c r="C26" s="586">
        <f>'[1]AT-3'!F23</f>
        <v>3061</v>
      </c>
      <c r="D26" s="588">
        <v>3061</v>
      </c>
      <c r="E26" s="587">
        <v>2599.8394330490896</v>
      </c>
      <c r="F26" s="588"/>
      <c r="G26" s="589">
        <v>2509.928289928555</v>
      </c>
      <c r="H26" s="589">
        <v>2748.4097487900435</v>
      </c>
      <c r="I26" s="589">
        <v>2781.284282092648</v>
      </c>
      <c r="J26" s="589">
        <v>2742.836598294538</v>
      </c>
      <c r="K26" s="589">
        <v>2537.335492048859</v>
      </c>
      <c r="L26" s="589">
        <v>2498.958354459553</v>
      </c>
      <c r="M26" s="589">
        <v>2478.6410463240377</v>
      </c>
      <c r="N26" s="589">
        <v>2572.2911385111775</v>
      </c>
      <c r="O26" s="589">
        <v>2586.7178382115694</v>
      </c>
      <c r="P26" s="589">
        <v>2245.0978220788197</v>
      </c>
    </row>
    <row r="27" spans="1:16" ht="12.75">
      <c r="A27" s="585">
        <v>16</v>
      </c>
      <c r="B27" s="578" t="s">
        <v>885</v>
      </c>
      <c r="C27" s="586">
        <f>'[1]AT-3'!F24</f>
        <v>2137</v>
      </c>
      <c r="D27" s="588">
        <v>2137</v>
      </c>
      <c r="E27" s="587">
        <v>1815.0463470845818</v>
      </c>
      <c r="F27" s="588"/>
      <c r="G27" s="589">
        <v>1752.2759737266654</v>
      </c>
      <c r="H27" s="589">
        <v>1918.768909887071</v>
      </c>
      <c r="I27" s="589">
        <v>1941.7198663286474</v>
      </c>
      <c r="J27" s="589">
        <v>1914.8780825074905</v>
      </c>
      <c r="K27" s="589">
        <v>1771.4099792578938</v>
      </c>
      <c r="L27" s="589">
        <v>1744.6174464162252</v>
      </c>
      <c r="M27" s="589">
        <v>1730.433164323577</v>
      </c>
      <c r="N27" s="589">
        <v>1795.8138395943768</v>
      </c>
      <c r="O27" s="589">
        <v>1805.8856648997466</v>
      </c>
      <c r="P27" s="589">
        <v>1567.3877967273568</v>
      </c>
    </row>
    <row r="28" spans="1:16" ht="12.75">
      <c r="A28" s="585">
        <v>17</v>
      </c>
      <c r="B28" s="578" t="s">
        <v>886</v>
      </c>
      <c r="C28" s="586">
        <f>'[1]AT-3'!F25</f>
        <v>2389</v>
      </c>
      <c r="D28" s="588">
        <v>2133</v>
      </c>
      <c r="E28" s="587">
        <v>1811.6489744180685</v>
      </c>
      <c r="F28" s="588"/>
      <c r="G28" s="589">
        <v>1748.9960935699469</v>
      </c>
      <c r="H28" s="589">
        <v>1915.1773911039409</v>
      </c>
      <c r="I28" s="589">
        <v>1938.0853883383268</v>
      </c>
      <c r="J28" s="589">
        <v>1911.293846508412</v>
      </c>
      <c r="K28" s="589">
        <v>1768.0942843973264</v>
      </c>
      <c r="L28" s="589">
        <v>1741.3519013597602</v>
      </c>
      <c r="M28" s="589">
        <v>1727.1941691634017</v>
      </c>
      <c r="N28" s="589">
        <v>1792.4524660059922</v>
      </c>
      <c r="O28" s="589">
        <v>1802.5054390412536</v>
      </c>
      <c r="P28" s="589">
        <v>1564.4539870938004</v>
      </c>
    </row>
    <row r="29" spans="1:16" ht="12.75">
      <c r="A29" s="585">
        <v>18</v>
      </c>
      <c r="B29" s="578" t="s">
        <v>887</v>
      </c>
      <c r="C29" s="586">
        <f>'[1]AT-3'!F26</f>
        <v>2849</v>
      </c>
      <c r="D29" s="588">
        <v>2849</v>
      </c>
      <c r="E29" s="587">
        <v>2419.7786817239</v>
      </c>
      <c r="F29" s="588"/>
      <c r="G29" s="589">
        <v>2336.094641622494</v>
      </c>
      <c r="H29" s="589">
        <v>2558.059253284167</v>
      </c>
      <c r="I29" s="589">
        <v>2588.6569486056696</v>
      </c>
      <c r="J29" s="589">
        <v>2552.8720903433973</v>
      </c>
      <c r="K29" s="589">
        <v>2361.603664438811</v>
      </c>
      <c r="L29" s="589">
        <v>2325.884466466928</v>
      </c>
      <c r="M29" s="589">
        <v>2306.974302834755</v>
      </c>
      <c r="N29" s="589">
        <v>2394.1383383268035</v>
      </c>
      <c r="O29" s="589">
        <v>2407.5658677114543</v>
      </c>
      <c r="P29" s="589">
        <v>2089.605911500346</v>
      </c>
    </row>
    <row r="30" spans="1:16" ht="12.75">
      <c r="A30" s="585">
        <v>19</v>
      </c>
      <c r="B30" s="578" t="s">
        <v>888</v>
      </c>
      <c r="C30" s="586">
        <f>'[1]AT-3'!F27</f>
        <v>3021</v>
      </c>
      <c r="D30" s="588">
        <v>3021</v>
      </c>
      <c r="E30" s="587">
        <v>2565.8657063839596</v>
      </c>
      <c r="F30" s="588"/>
      <c r="G30" s="589">
        <v>2477.1294883613737</v>
      </c>
      <c r="H30" s="589">
        <v>2712.494560958746</v>
      </c>
      <c r="I30" s="589">
        <v>2744.9395021894447</v>
      </c>
      <c r="J30" s="589">
        <v>2706.9942383037564</v>
      </c>
      <c r="K30" s="589">
        <v>2504.1785434431895</v>
      </c>
      <c r="L30" s="589">
        <v>2466.3029038949066</v>
      </c>
      <c r="M30" s="589">
        <v>2446.2510947222863</v>
      </c>
      <c r="N30" s="589">
        <v>2538.6774026273333</v>
      </c>
      <c r="O30" s="589">
        <v>2552.9155796266423</v>
      </c>
      <c r="P30" s="589">
        <v>2215.759725743259</v>
      </c>
    </row>
    <row r="31" spans="1:16" ht="12.75">
      <c r="A31" s="585">
        <v>20</v>
      </c>
      <c r="B31" s="578" t="s">
        <v>889</v>
      </c>
      <c r="C31" s="586">
        <f>'[1]AT-3'!F28</f>
        <v>1705</v>
      </c>
      <c r="D31" s="588">
        <v>1705</v>
      </c>
      <c r="E31" s="587">
        <v>1448.1300991011753</v>
      </c>
      <c r="F31" s="588">
        <v>230</v>
      </c>
      <c r="G31" s="589">
        <v>1398.0489168011063</v>
      </c>
      <c r="H31" s="589">
        <v>1530.8848813090574</v>
      </c>
      <c r="I31" s="589">
        <v>1549.1962433740493</v>
      </c>
      <c r="J31" s="589">
        <v>1527.7805946070523</v>
      </c>
      <c r="K31" s="589">
        <v>1413.3149343166629</v>
      </c>
      <c r="L31" s="589">
        <v>1391.9385803180458</v>
      </c>
      <c r="M31" s="589">
        <v>1380.62168702466</v>
      </c>
      <c r="N31" s="589">
        <v>1432.7854920488592</v>
      </c>
      <c r="O31" s="589">
        <v>1440.8212721825305</v>
      </c>
      <c r="P31" s="589">
        <v>1250.5363563032956</v>
      </c>
    </row>
    <row r="32" spans="1:16" ht="12.75">
      <c r="A32" s="585">
        <v>21</v>
      </c>
      <c r="B32" s="578" t="s">
        <v>890</v>
      </c>
      <c r="C32" s="586">
        <f>'[1]AT-3'!F29</f>
        <v>4449</v>
      </c>
      <c r="D32" s="588">
        <v>4449</v>
      </c>
      <c r="E32" s="587">
        <v>3778.7277483291077</v>
      </c>
      <c r="F32" s="588"/>
      <c r="G32" s="589">
        <v>3648.0467043097487</v>
      </c>
      <c r="H32" s="589">
        <v>3994.666766536068</v>
      </c>
      <c r="I32" s="589">
        <v>4042.4481447338094</v>
      </c>
      <c r="J32" s="589">
        <v>3986.5664899746484</v>
      </c>
      <c r="K32" s="589">
        <v>3687.881608665591</v>
      </c>
      <c r="L32" s="589">
        <v>3632.102489052777</v>
      </c>
      <c r="M32" s="589">
        <v>3602.5723669048166</v>
      </c>
      <c r="N32" s="589">
        <v>3738.6877736805714</v>
      </c>
      <c r="O32" s="589">
        <v>3759.65621110855</v>
      </c>
      <c r="P32" s="589">
        <v>3263.129764922793</v>
      </c>
    </row>
    <row r="33" spans="1:16" ht="12.75">
      <c r="A33" s="585">
        <v>22</v>
      </c>
      <c r="B33" s="578" t="s">
        <v>891</v>
      </c>
      <c r="C33" s="586">
        <f>'[1]AT-3'!F30</f>
        <v>1548</v>
      </c>
      <c r="D33" s="588">
        <v>1548</v>
      </c>
      <c r="E33" s="587">
        <v>1314.7832219405395</v>
      </c>
      <c r="F33" s="588"/>
      <c r="G33" s="589">
        <v>1269.3136206499196</v>
      </c>
      <c r="H33" s="589">
        <v>1389.9177690712147</v>
      </c>
      <c r="I33" s="589">
        <v>1406.5429822539757</v>
      </c>
      <c r="J33" s="589">
        <v>1387.099331643236</v>
      </c>
      <c r="K33" s="589">
        <v>1283.17391103941</v>
      </c>
      <c r="L33" s="589">
        <v>1263.7659368518093</v>
      </c>
      <c r="M33" s="589">
        <v>1253.4911269877853</v>
      </c>
      <c r="N33" s="589">
        <v>1300.8515787047709</v>
      </c>
      <c r="O33" s="589">
        <v>1308.1474072366907</v>
      </c>
      <c r="P33" s="589">
        <v>1135.3843281862182</v>
      </c>
    </row>
    <row r="34" spans="1:16" ht="12.75">
      <c r="A34" s="585">
        <v>23</v>
      </c>
      <c r="B34" s="578" t="s">
        <v>892</v>
      </c>
      <c r="C34" s="586">
        <f>'[1]AT-3'!F31</f>
        <v>1583</v>
      </c>
      <c r="D34" s="588">
        <v>1583</v>
      </c>
      <c r="E34" s="587">
        <v>1344.5102327725283</v>
      </c>
      <c r="F34" s="588"/>
      <c r="G34" s="589">
        <v>1298.0125720212031</v>
      </c>
      <c r="H34" s="589">
        <v>1421.3435584236</v>
      </c>
      <c r="I34" s="589">
        <v>1438.3446646692787</v>
      </c>
      <c r="J34" s="589">
        <v>1418.4613966351694</v>
      </c>
      <c r="K34" s="589">
        <v>1312.186241069371</v>
      </c>
      <c r="L34" s="589">
        <v>1292.3394560958745</v>
      </c>
      <c r="M34" s="589">
        <v>1281.8323346393179</v>
      </c>
      <c r="N34" s="589">
        <v>1330.2635976031345</v>
      </c>
      <c r="O34" s="589">
        <v>1337.724383498502</v>
      </c>
      <c r="P34" s="589">
        <v>1161.055162479834</v>
      </c>
    </row>
    <row r="35" spans="1:16" ht="12.75">
      <c r="A35" s="585">
        <v>24</v>
      </c>
      <c r="B35" s="578" t="s">
        <v>893</v>
      </c>
      <c r="C35" s="586">
        <f>'[1]AT-3'!F32</f>
        <v>5432</v>
      </c>
      <c r="D35" s="588">
        <v>5432</v>
      </c>
      <c r="E35" s="587">
        <v>4613.632081124683</v>
      </c>
      <c r="F35" s="588"/>
      <c r="G35" s="589">
        <v>4454.077252823231</v>
      </c>
      <c r="H35" s="589">
        <v>4877.282507490205</v>
      </c>
      <c r="I35" s="589">
        <v>4935.621110855036</v>
      </c>
      <c r="J35" s="589">
        <v>4867.392486748099</v>
      </c>
      <c r="K35" s="589">
        <v>4502.71362064992</v>
      </c>
      <c r="L35" s="589">
        <v>4434.610186678959</v>
      </c>
      <c r="M35" s="589">
        <v>4398.555427517861</v>
      </c>
      <c r="N35" s="589">
        <v>4564.745333026043</v>
      </c>
      <c r="O35" s="589">
        <v>4590.346715833141</v>
      </c>
      <c r="P35" s="589">
        <v>3984.1134823692096</v>
      </c>
    </row>
    <row r="36" spans="1:16" ht="12.75">
      <c r="A36" s="585">
        <v>25</v>
      </c>
      <c r="B36" s="578" t="s">
        <v>894</v>
      </c>
      <c r="C36" s="586">
        <f>'[1]AT-3'!F33</f>
        <v>3208</v>
      </c>
      <c r="D36" s="588">
        <v>3208</v>
      </c>
      <c r="E36" s="587">
        <v>2724.6928785434434</v>
      </c>
      <c r="F36" s="588"/>
      <c r="G36" s="589">
        <v>2630.463885687947</v>
      </c>
      <c r="H36" s="589">
        <v>2880.3980640700624</v>
      </c>
      <c r="I36" s="589">
        <v>2914.8513482369212</v>
      </c>
      <c r="J36" s="589">
        <v>2874.5572712606595</v>
      </c>
      <c r="K36" s="589">
        <v>2659.1872781746947</v>
      </c>
      <c r="L36" s="589">
        <v>2618.967135284628</v>
      </c>
      <c r="M36" s="589">
        <v>2597.6741184604753</v>
      </c>
      <c r="N36" s="589">
        <v>2695.8216178843054</v>
      </c>
      <c r="O36" s="589">
        <v>2710.941138511178</v>
      </c>
      <c r="P36" s="589">
        <v>2352.9153261120077</v>
      </c>
    </row>
    <row r="37" spans="1:16" ht="12.75">
      <c r="A37" s="585">
        <v>26</v>
      </c>
      <c r="B37" s="578" t="s">
        <v>895</v>
      </c>
      <c r="C37" s="586">
        <f>'[1]AT-3'!F34</f>
        <v>3076</v>
      </c>
      <c r="D37" s="586">
        <f>'[1]AT-3'!G34</f>
        <v>3076</v>
      </c>
      <c r="E37" s="587">
        <v>2612.579580548513</v>
      </c>
      <c r="F37" s="586"/>
      <c r="G37" s="587">
        <v>2522.227840516248</v>
      </c>
      <c r="H37" s="587">
        <v>2761.87794422678</v>
      </c>
      <c r="I37" s="587">
        <v>2794.9135745563494</v>
      </c>
      <c r="J37" s="587">
        <v>2756.277483291081</v>
      </c>
      <c r="K37" s="587">
        <v>2549.769347775985</v>
      </c>
      <c r="L37" s="587">
        <v>2511.204148421295</v>
      </c>
      <c r="M37" s="587">
        <v>2490.7872781746946</v>
      </c>
      <c r="N37" s="587">
        <v>2584.896289467619</v>
      </c>
      <c r="O37" s="587">
        <v>2599.393685180917</v>
      </c>
      <c r="P37" s="587">
        <v>2256.0996082046554</v>
      </c>
    </row>
    <row r="38" spans="1:16" ht="12.75">
      <c r="A38" s="585">
        <v>27</v>
      </c>
      <c r="B38" s="578" t="s">
        <v>896</v>
      </c>
      <c r="C38" s="586">
        <f>'[1]AT-3'!F35</f>
        <v>2515</v>
      </c>
      <c r="D38" s="588">
        <v>2515</v>
      </c>
      <c r="E38" s="587">
        <v>2136.0980640700623</v>
      </c>
      <c r="F38" s="588">
        <v>80</v>
      </c>
      <c r="G38" s="589">
        <v>2062.224648536529</v>
      </c>
      <c r="H38" s="589">
        <v>2258.1674348928327</v>
      </c>
      <c r="I38" s="589">
        <v>2285.1780364139204</v>
      </c>
      <c r="J38" s="589">
        <v>2253.5883844203736</v>
      </c>
      <c r="K38" s="589">
        <v>2084.7431435814706</v>
      </c>
      <c r="L38" s="589">
        <v>2053.2114542521317</v>
      </c>
      <c r="M38" s="589">
        <v>2036.5182069601292</v>
      </c>
      <c r="N38" s="589">
        <v>2113.4636436967044</v>
      </c>
      <c r="O38" s="589">
        <v>2125.3170085273105</v>
      </c>
      <c r="P38" s="589">
        <v>1844.6328070984098</v>
      </c>
    </row>
    <row r="39" spans="1:16" ht="12.75">
      <c r="A39" s="585">
        <v>28</v>
      </c>
      <c r="B39" s="578" t="s">
        <v>897</v>
      </c>
      <c r="C39" s="586">
        <f>'[1]AT-3'!F36</f>
        <v>3436</v>
      </c>
      <c r="D39" s="588">
        <v>3420</v>
      </c>
      <c r="E39" s="587">
        <v>2904.753629868633</v>
      </c>
      <c r="F39" s="588"/>
      <c r="G39" s="589">
        <v>2804.2975339940076</v>
      </c>
      <c r="H39" s="589">
        <v>3070.748559575939</v>
      </c>
      <c r="I39" s="589">
        <v>3107.4786817238996</v>
      </c>
      <c r="J39" s="589">
        <v>3064.5217792118</v>
      </c>
      <c r="K39" s="589">
        <v>2834.919105784743</v>
      </c>
      <c r="L39" s="589">
        <v>2792.041023277253</v>
      </c>
      <c r="M39" s="589">
        <v>2769.340861949758</v>
      </c>
      <c r="N39" s="589">
        <v>2873.9744180686794</v>
      </c>
      <c r="O39" s="589">
        <v>2890.093109011293</v>
      </c>
      <c r="P39" s="589">
        <v>2508.4072366904816</v>
      </c>
    </row>
    <row r="40" spans="1:16" ht="12.75">
      <c r="A40" s="585">
        <v>29</v>
      </c>
      <c r="B40" s="578" t="s">
        <v>898</v>
      </c>
      <c r="C40" s="586">
        <f>'[1]AT-3'!F37</f>
        <v>1670</v>
      </c>
      <c r="D40" s="588">
        <v>1670</v>
      </c>
      <c r="E40" s="587">
        <v>1418.4030882691866</v>
      </c>
      <c r="F40" s="588"/>
      <c r="G40" s="589">
        <v>1369.3499654298228</v>
      </c>
      <c r="H40" s="589">
        <v>1499.4590919566722</v>
      </c>
      <c r="I40" s="589">
        <v>1517.3945609587463</v>
      </c>
      <c r="J40" s="589">
        <v>1496.4185296151188</v>
      </c>
      <c r="K40" s="589">
        <v>1384.302604286702</v>
      </c>
      <c r="L40" s="589">
        <v>1363.3650610739803</v>
      </c>
      <c r="M40" s="589">
        <v>1352.2804793731275</v>
      </c>
      <c r="N40" s="589">
        <v>1403.3734731504956</v>
      </c>
      <c r="O40" s="589">
        <v>1411.2442959207192</v>
      </c>
      <c r="P40" s="589">
        <v>1224.8655220096798</v>
      </c>
    </row>
    <row r="41" spans="1:16" ht="12.75">
      <c r="A41" s="585">
        <v>30</v>
      </c>
      <c r="B41" s="578" t="s">
        <v>899</v>
      </c>
      <c r="C41" s="586">
        <f>'[1]AT-3'!F38</f>
        <v>4073</v>
      </c>
      <c r="D41" s="588">
        <v>4073</v>
      </c>
      <c r="E41" s="587">
        <v>3459.374717676884</v>
      </c>
      <c r="F41" s="588"/>
      <c r="G41" s="589">
        <v>3339.737969578244</v>
      </c>
      <c r="H41" s="589">
        <v>3657.0640009218714</v>
      </c>
      <c r="I41" s="589">
        <v>3700.8072136436967</v>
      </c>
      <c r="J41" s="589">
        <v>3649.6483060613045</v>
      </c>
      <c r="K41" s="589">
        <v>3376.206291772298</v>
      </c>
      <c r="L41" s="589">
        <v>3325.1412537451024</v>
      </c>
      <c r="M41" s="589">
        <v>3298.106821848352</v>
      </c>
      <c r="N41" s="589">
        <v>3422.718656372436</v>
      </c>
      <c r="O41" s="589">
        <v>3441.9149804102326</v>
      </c>
      <c r="P41" s="589">
        <v>2987.351659368518</v>
      </c>
    </row>
    <row r="42" spans="1:16" ht="12.75">
      <c r="A42" s="585">
        <v>31</v>
      </c>
      <c r="B42" s="578" t="s">
        <v>900</v>
      </c>
      <c r="C42" s="586">
        <f>'[1]AT-3'!F39</f>
        <v>2785</v>
      </c>
      <c r="D42" s="588">
        <v>2785</v>
      </c>
      <c r="E42" s="587">
        <v>2365.420719059691</v>
      </c>
      <c r="F42" s="588"/>
      <c r="G42" s="589">
        <v>2283.616559115003</v>
      </c>
      <c r="H42" s="589">
        <v>2500.5949527540906</v>
      </c>
      <c r="I42" s="589">
        <v>2530.5053007605434</v>
      </c>
      <c r="J42" s="589">
        <v>2495.5243143581465</v>
      </c>
      <c r="K42" s="589">
        <v>2308.552546669739</v>
      </c>
      <c r="L42" s="589">
        <v>2273.6357455634934</v>
      </c>
      <c r="M42" s="589">
        <v>2255.1503802719517</v>
      </c>
      <c r="N42" s="589">
        <v>2340.3563609126522</v>
      </c>
      <c r="O42" s="589">
        <v>2353.48225397557</v>
      </c>
      <c r="P42" s="589">
        <v>2042.6649573634475</v>
      </c>
    </row>
    <row r="43" spans="1:16" ht="12.75">
      <c r="A43" s="585">
        <v>32</v>
      </c>
      <c r="B43" s="578" t="s">
        <v>901</v>
      </c>
      <c r="C43" s="586">
        <f>'[1]AT-3'!F40</f>
        <v>2393</v>
      </c>
      <c r="D43" s="588">
        <v>2393</v>
      </c>
      <c r="E43" s="587">
        <v>2032.4781977414148</v>
      </c>
      <c r="F43" s="588"/>
      <c r="G43" s="589">
        <v>1962.1883037566258</v>
      </c>
      <c r="H43" s="589">
        <v>2148.6261120073746</v>
      </c>
      <c r="I43" s="589">
        <v>2174.3264577091495</v>
      </c>
      <c r="J43" s="589">
        <v>2144.26918644849</v>
      </c>
      <c r="K43" s="589">
        <v>1983.6144503341782</v>
      </c>
      <c r="L43" s="589">
        <v>1953.6123300299607</v>
      </c>
      <c r="M43" s="589">
        <v>1937.7288545747865</v>
      </c>
      <c r="N43" s="589">
        <v>2010.9417492509792</v>
      </c>
      <c r="O43" s="589">
        <v>2022.2201198432817</v>
      </c>
      <c r="P43" s="589">
        <v>1755.151613274948</v>
      </c>
    </row>
    <row r="44" spans="1:16" ht="12.75">
      <c r="A44" s="585">
        <v>33</v>
      </c>
      <c r="B44" s="578" t="s">
        <v>902</v>
      </c>
      <c r="C44" s="586">
        <f>'[1]AT-3'!F41</f>
        <v>1246</v>
      </c>
      <c r="D44" s="588">
        <v>1246</v>
      </c>
      <c r="E44" s="587">
        <v>1058.2815856188063</v>
      </c>
      <c r="F44" s="588"/>
      <c r="G44" s="589">
        <v>1021.6826688176999</v>
      </c>
      <c r="H44" s="589">
        <v>1118.7581009449182</v>
      </c>
      <c r="I44" s="589">
        <v>1132.139893984789</v>
      </c>
      <c r="J44" s="589">
        <v>1116.4895137128372</v>
      </c>
      <c r="K44" s="589">
        <v>1032.8389490666052</v>
      </c>
      <c r="L44" s="589">
        <v>1017.2172850887301</v>
      </c>
      <c r="M44" s="589">
        <v>1008.946992394561</v>
      </c>
      <c r="N44" s="589">
        <v>1047.067872781747</v>
      </c>
      <c r="O44" s="589">
        <v>1052.9403549204885</v>
      </c>
      <c r="P44" s="589">
        <v>913.881700852731</v>
      </c>
    </row>
    <row r="45" spans="1:16" ht="12.75">
      <c r="A45" s="585">
        <v>34</v>
      </c>
      <c r="B45" s="578" t="s">
        <v>903</v>
      </c>
      <c r="C45" s="586">
        <f>'[1]AT-3'!F42</f>
        <v>1110</v>
      </c>
      <c r="D45" s="586">
        <f>'[1]AT-3'!G42</f>
        <v>1110</v>
      </c>
      <c r="E45" s="587">
        <v>942.7709149573635</v>
      </c>
      <c r="F45" s="586"/>
      <c r="G45" s="587">
        <v>910.1667434892832</v>
      </c>
      <c r="H45" s="587">
        <v>996.6464623185066</v>
      </c>
      <c r="I45" s="587">
        <v>1008.5676423138972</v>
      </c>
      <c r="J45" s="587">
        <v>994.6254897441808</v>
      </c>
      <c r="K45" s="587">
        <v>920.1053238073289</v>
      </c>
      <c r="L45" s="587">
        <v>906.188753168933</v>
      </c>
      <c r="M45" s="587">
        <v>898.8211569486057</v>
      </c>
      <c r="N45" s="587">
        <v>932.7811707766766</v>
      </c>
      <c r="O45" s="587">
        <v>938.0126757317354</v>
      </c>
      <c r="P45" s="587">
        <v>814.1321733118231</v>
      </c>
    </row>
    <row r="46" spans="1:16" ht="12.75">
      <c r="A46" s="585">
        <v>35</v>
      </c>
      <c r="B46" s="578" t="s">
        <v>904</v>
      </c>
      <c r="C46" s="586">
        <f>'[1]AT-3'!F43</f>
        <v>2782</v>
      </c>
      <c r="D46" s="586">
        <f>'[1]AT-3'!G43</f>
        <v>2782</v>
      </c>
      <c r="E46" s="587">
        <v>2362.8726895598065</v>
      </c>
      <c r="F46" s="586"/>
      <c r="G46" s="587">
        <v>2281.156648997465</v>
      </c>
      <c r="H46" s="587">
        <v>2497.9013136667436</v>
      </c>
      <c r="I46" s="587">
        <v>2527.7794422678035</v>
      </c>
      <c r="J46" s="587">
        <v>2492.8361373588386</v>
      </c>
      <c r="K46" s="587">
        <v>2306.065775524314</v>
      </c>
      <c r="L46" s="587">
        <v>2271.1865867711454</v>
      </c>
      <c r="M46" s="587">
        <v>2252.721133901821</v>
      </c>
      <c r="N46" s="587">
        <v>2337.8353307213642</v>
      </c>
      <c r="O46" s="587">
        <v>2350.947084581701</v>
      </c>
      <c r="P46" s="587">
        <v>2040.4646001382807</v>
      </c>
    </row>
    <row r="47" spans="1:16" ht="12.75">
      <c r="A47" s="588" t="s">
        <v>19</v>
      </c>
      <c r="B47" s="588"/>
      <c r="C47" s="588">
        <f>SUM(C12:C46)</f>
        <v>86780</v>
      </c>
      <c r="D47" s="588">
        <v>86780</v>
      </c>
      <c r="E47" s="589">
        <v>73474.97865867711</v>
      </c>
      <c r="F47" s="588">
        <f>SUM(F12:F46)</f>
        <v>981</v>
      </c>
      <c r="G47" s="589">
        <v>71157</v>
      </c>
      <c r="H47" s="589">
        <v>77918</v>
      </c>
      <c r="I47" s="589">
        <v>78850</v>
      </c>
      <c r="J47" s="589">
        <v>77760</v>
      </c>
      <c r="K47" s="589">
        <v>71934</v>
      </c>
      <c r="L47" s="589">
        <v>70846</v>
      </c>
      <c r="M47" s="589">
        <v>70270</v>
      </c>
      <c r="N47" s="589">
        <v>72925</v>
      </c>
      <c r="O47" s="589">
        <v>73334</v>
      </c>
      <c r="P47" s="589">
        <v>63649</v>
      </c>
    </row>
    <row r="50" spans="8:13" ht="12.75">
      <c r="H50" s="598"/>
      <c r="I50" s="598"/>
      <c r="J50" s="598"/>
      <c r="K50" s="598"/>
      <c r="L50" s="598"/>
      <c r="M50" s="598"/>
    </row>
    <row r="51" spans="8:13" ht="12.75">
      <c r="H51" s="598"/>
      <c r="I51" s="598"/>
      <c r="J51" s="598"/>
      <c r="K51" s="598"/>
      <c r="L51" s="598"/>
      <c r="M51" s="598"/>
    </row>
    <row r="52" spans="3:13" ht="12.75" customHeight="1">
      <c r="C52" s="748" t="s">
        <v>1021</v>
      </c>
      <c r="D52" s="748"/>
      <c r="E52" s="748"/>
      <c r="F52" s="748"/>
      <c r="G52"/>
      <c r="H52"/>
      <c r="I52" s="204"/>
      <c r="J52" s="748" t="s">
        <v>1024</v>
      </c>
      <c r="K52" s="748"/>
      <c r="L52" s="748"/>
      <c r="M52" s="748"/>
    </row>
    <row r="53" spans="1:13" ht="12.75" customHeight="1">
      <c r="A53" s="579" t="s">
        <v>12</v>
      </c>
      <c r="C53" s="748" t="s">
        <v>1022</v>
      </c>
      <c r="D53" s="748"/>
      <c r="E53" s="748"/>
      <c r="F53" s="748"/>
      <c r="G53"/>
      <c r="H53"/>
      <c r="I53" s="217"/>
      <c r="J53" s="748" t="s">
        <v>1025</v>
      </c>
      <c r="K53" s="748"/>
      <c r="L53" s="748"/>
      <c r="M53" s="748"/>
    </row>
    <row r="54" spans="3:13" ht="12.75">
      <c r="C54" s="735" t="s">
        <v>1023</v>
      </c>
      <c r="D54" s="735"/>
      <c r="E54" s="735"/>
      <c r="F54" s="735"/>
      <c r="G54"/>
      <c r="H54"/>
      <c r="I54" s="217"/>
      <c r="J54" s="735" t="s">
        <v>1023</v>
      </c>
      <c r="K54" s="735"/>
      <c r="L54" s="735"/>
      <c r="M54" s="735"/>
    </row>
    <row r="55" spans="3:8" ht="12.75">
      <c r="C55"/>
      <c r="D55"/>
      <c r="E55"/>
      <c r="F55"/>
      <c r="G55"/>
      <c r="H55"/>
    </row>
  </sheetData>
  <sheetProtection/>
  <mergeCells count="17">
    <mergeCell ref="C2:J2"/>
    <mergeCell ref="E9:P9"/>
    <mergeCell ref="K8:P8"/>
    <mergeCell ref="L1:M1"/>
    <mergeCell ref="H1:I1"/>
    <mergeCell ref="A3:M3"/>
    <mergeCell ref="A4:M4"/>
    <mergeCell ref="A9:A10"/>
    <mergeCell ref="B9:B10"/>
    <mergeCell ref="C9:C10"/>
    <mergeCell ref="C52:F52"/>
    <mergeCell ref="J52:M52"/>
    <mergeCell ref="C53:F53"/>
    <mergeCell ref="J53:M53"/>
    <mergeCell ref="C54:F54"/>
    <mergeCell ref="J54:M54"/>
    <mergeCell ref="D9:D10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8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view="pageBreakPreview" zoomScale="80" zoomScaleNormal="80" zoomScaleSheetLayoutView="80" zoomScalePageLayoutView="0" workbookViewId="0" topLeftCell="A28">
      <selection activeCell="C49" sqref="C49:M51"/>
    </sheetView>
  </sheetViews>
  <sheetFormatPr defaultColWidth="9.140625" defaultRowHeight="12.75"/>
  <cols>
    <col min="2" max="2" width="17.421875" style="0" customWidth="1"/>
    <col min="4" max="4" width="8.421875" style="0" customWidth="1"/>
    <col min="5" max="5" width="12.8515625" style="0" customWidth="1"/>
    <col min="6" max="6" width="16.00390625" style="0" customWidth="1"/>
    <col min="7" max="7" width="15.28125" style="0" customWidth="1"/>
    <col min="8" max="8" width="17.00390625" style="0" customWidth="1"/>
    <col min="9" max="9" width="18.00390625" style="0" customWidth="1"/>
    <col min="10" max="10" width="11.140625" style="0" customWidth="1"/>
    <col min="11" max="11" width="12.7109375" style="0" customWidth="1"/>
    <col min="12" max="12" width="11.421875" style="0" customWidth="1"/>
    <col min="13" max="13" width="15.421875" style="0" customWidth="1"/>
  </cols>
  <sheetData>
    <row r="1" spans="3:16" ht="18">
      <c r="C1" s="801" t="s">
        <v>0</v>
      </c>
      <c r="D1" s="801"/>
      <c r="E1" s="801"/>
      <c r="F1" s="801"/>
      <c r="G1" s="801"/>
      <c r="H1" s="801"/>
      <c r="I1" s="801"/>
      <c r="J1" s="226"/>
      <c r="K1" s="226"/>
      <c r="L1" s="979" t="s">
        <v>548</v>
      </c>
      <c r="M1" s="979"/>
      <c r="N1" s="226"/>
      <c r="O1" s="226"/>
      <c r="P1" s="226"/>
    </row>
    <row r="2" spans="2:16" ht="21">
      <c r="B2" s="802" t="s">
        <v>656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227"/>
      <c r="N2" s="227"/>
      <c r="O2" s="227"/>
      <c r="P2" s="227"/>
    </row>
    <row r="3" spans="3:16" ht="21"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227"/>
      <c r="O3" s="227"/>
      <c r="P3" s="227"/>
    </row>
    <row r="4" spans="1:13" ht="20.25" customHeight="1">
      <c r="A4" s="999" t="s">
        <v>547</v>
      </c>
      <c r="B4" s="999"/>
      <c r="C4" s="999"/>
      <c r="D4" s="999"/>
      <c r="E4" s="999"/>
      <c r="F4" s="999"/>
      <c r="G4" s="999"/>
      <c r="H4" s="999"/>
      <c r="I4" s="999"/>
      <c r="J4" s="999"/>
      <c r="K4" s="999"/>
      <c r="L4" s="999"/>
      <c r="M4" s="999"/>
    </row>
    <row r="5" spans="1:14" ht="20.25" customHeight="1">
      <c r="A5" s="208" t="s">
        <v>1020</v>
      </c>
      <c r="B5" s="208"/>
      <c r="C5" s="209"/>
      <c r="D5" s="597"/>
      <c r="E5" s="597"/>
      <c r="F5" s="597"/>
      <c r="G5" s="597"/>
      <c r="H5" s="804" t="s">
        <v>820</v>
      </c>
      <c r="I5" s="804"/>
      <c r="J5" s="804"/>
      <c r="K5" s="804"/>
      <c r="L5" s="804"/>
      <c r="M5" s="804"/>
      <c r="N5" s="99"/>
    </row>
    <row r="6" spans="1:13" ht="15" customHeight="1">
      <c r="A6" s="1000" t="s">
        <v>74</v>
      </c>
      <c r="B6" s="1000" t="s">
        <v>302</v>
      </c>
      <c r="C6" s="1003" t="s">
        <v>434</v>
      </c>
      <c r="D6" s="1004"/>
      <c r="E6" s="1004"/>
      <c r="F6" s="1004"/>
      <c r="G6" s="1005"/>
      <c r="H6" s="998" t="s">
        <v>431</v>
      </c>
      <c r="I6" s="998"/>
      <c r="J6" s="998"/>
      <c r="K6" s="998"/>
      <c r="L6" s="998"/>
      <c r="M6" s="1000" t="s">
        <v>303</v>
      </c>
    </row>
    <row r="7" spans="1:13" ht="12.75" customHeight="1">
      <c r="A7" s="1001"/>
      <c r="B7" s="1001"/>
      <c r="C7" s="1006"/>
      <c r="D7" s="1007"/>
      <c r="E7" s="1007"/>
      <c r="F7" s="1007"/>
      <c r="G7" s="1008"/>
      <c r="H7" s="998"/>
      <c r="I7" s="998"/>
      <c r="J7" s="998"/>
      <c r="K7" s="998"/>
      <c r="L7" s="998"/>
      <c r="M7" s="1001"/>
    </row>
    <row r="8" spans="1:13" ht="5.25" customHeight="1">
      <c r="A8" s="1001"/>
      <c r="B8" s="1001"/>
      <c r="C8" s="1006"/>
      <c r="D8" s="1007"/>
      <c r="E8" s="1007"/>
      <c r="F8" s="1007"/>
      <c r="G8" s="1008"/>
      <c r="H8" s="998"/>
      <c r="I8" s="998"/>
      <c r="J8" s="998"/>
      <c r="K8" s="998"/>
      <c r="L8" s="998"/>
      <c r="M8" s="1001"/>
    </row>
    <row r="9" spans="1:13" ht="68.25" customHeight="1">
      <c r="A9" s="1002"/>
      <c r="B9" s="1002"/>
      <c r="C9" s="232" t="s">
        <v>304</v>
      </c>
      <c r="D9" s="232" t="s">
        <v>305</v>
      </c>
      <c r="E9" s="232" t="s">
        <v>306</v>
      </c>
      <c r="F9" s="232" t="s">
        <v>307</v>
      </c>
      <c r="G9" s="257" t="s">
        <v>308</v>
      </c>
      <c r="H9" s="256" t="s">
        <v>430</v>
      </c>
      <c r="I9" s="256" t="s">
        <v>435</v>
      </c>
      <c r="J9" s="256" t="s">
        <v>432</v>
      </c>
      <c r="K9" s="256" t="s">
        <v>433</v>
      </c>
      <c r="L9" s="256" t="s">
        <v>47</v>
      </c>
      <c r="M9" s="1002"/>
    </row>
    <row r="10" spans="1:13" ht="15">
      <c r="A10" s="233">
        <v>1</v>
      </c>
      <c r="B10" s="233">
        <v>2</v>
      </c>
      <c r="C10" s="233">
        <v>3</v>
      </c>
      <c r="D10" s="233">
        <v>4</v>
      </c>
      <c r="E10" s="233">
        <v>5</v>
      </c>
      <c r="F10" s="233">
        <v>6</v>
      </c>
      <c r="G10" s="233">
        <v>7</v>
      </c>
      <c r="H10" s="233">
        <v>8</v>
      </c>
      <c r="I10" s="233">
        <v>9</v>
      </c>
      <c r="J10" s="233">
        <v>10</v>
      </c>
      <c r="K10" s="233">
        <v>11</v>
      </c>
      <c r="L10" s="233">
        <v>12</v>
      </c>
      <c r="M10" s="233">
        <v>13</v>
      </c>
    </row>
    <row r="11" spans="1:13" ht="15">
      <c r="A11" s="288">
        <v>1</v>
      </c>
      <c r="B11" s="328" t="s">
        <v>870</v>
      </c>
      <c r="C11" s="287">
        <v>0</v>
      </c>
      <c r="D11" s="287">
        <v>0</v>
      </c>
      <c r="E11" s="287">
        <v>0</v>
      </c>
      <c r="F11" s="287">
        <v>0</v>
      </c>
      <c r="G11" s="287">
        <v>0</v>
      </c>
      <c r="H11" s="287">
        <v>0</v>
      </c>
      <c r="I11" s="287">
        <v>0</v>
      </c>
      <c r="J11" s="287">
        <v>0</v>
      </c>
      <c r="K11" s="287">
        <v>0</v>
      </c>
      <c r="L11" s="287">
        <v>0</v>
      </c>
      <c r="M11" s="287">
        <v>0</v>
      </c>
    </row>
    <row r="12" spans="1:13" ht="15">
      <c r="A12" s="288">
        <v>2</v>
      </c>
      <c r="B12" s="328" t="s">
        <v>871</v>
      </c>
      <c r="C12" s="287">
        <v>0</v>
      </c>
      <c r="D12" s="287">
        <v>0</v>
      </c>
      <c r="E12" s="287">
        <v>0</v>
      </c>
      <c r="F12" s="287">
        <v>0</v>
      </c>
      <c r="G12" s="287">
        <v>0</v>
      </c>
      <c r="H12" s="287">
        <v>0</v>
      </c>
      <c r="I12" s="287">
        <v>0</v>
      </c>
      <c r="J12" s="287">
        <v>0</v>
      </c>
      <c r="K12" s="287">
        <v>0</v>
      </c>
      <c r="L12" s="287">
        <v>0</v>
      </c>
      <c r="M12" s="287">
        <v>0</v>
      </c>
    </row>
    <row r="13" spans="1:13" ht="15">
      <c r="A13" s="288">
        <v>3</v>
      </c>
      <c r="B13" s="328" t="s">
        <v>872</v>
      </c>
      <c r="C13" s="287">
        <v>0</v>
      </c>
      <c r="D13" s="287">
        <v>0</v>
      </c>
      <c r="E13" s="287">
        <v>0</v>
      </c>
      <c r="F13" s="287">
        <v>0</v>
      </c>
      <c r="G13" s="287">
        <v>0</v>
      </c>
      <c r="H13" s="287">
        <v>0</v>
      </c>
      <c r="I13" s="287">
        <v>0</v>
      </c>
      <c r="J13" s="287">
        <v>0</v>
      </c>
      <c r="K13" s="287">
        <v>0</v>
      </c>
      <c r="L13" s="287">
        <v>0</v>
      </c>
      <c r="M13" s="287">
        <v>0</v>
      </c>
    </row>
    <row r="14" spans="1:13" ht="15">
      <c r="A14" s="288">
        <v>4</v>
      </c>
      <c r="B14" s="328" t="s">
        <v>873</v>
      </c>
      <c r="C14" s="287">
        <v>0</v>
      </c>
      <c r="D14" s="287">
        <v>0</v>
      </c>
      <c r="E14" s="287">
        <v>0</v>
      </c>
      <c r="F14" s="287">
        <v>0</v>
      </c>
      <c r="G14" s="287">
        <v>0</v>
      </c>
      <c r="H14" s="287">
        <v>0</v>
      </c>
      <c r="I14" s="287">
        <v>0</v>
      </c>
      <c r="J14" s="287">
        <v>0</v>
      </c>
      <c r="K14" s="287">
        <v>0</v>
      </c>
      <c r="L14" s="287">
        <v>0</v>
      </c>
      <c r="M14" s="287">
        <v>0</v>
      </c>
    </row>
    <row r="15" spans="1:13" ht="15">
      <c r="A15" s="288">
        <v>5</v>
      </c>
      <c r="B15" s="328" t="s">
        <v>874</v>
      </c>
      <c r="C15" s="287">
        <v>0</v>
      </c>
      <c r="D15" s="287">
        <v>0</v>
      </c>
      <c r="E15" s="287">
        <v>0</v>
      </c>
      <c r="F15" s="287">
        <v>0</v>
      </c>
      <c r="G15" s="287">
        <v>0</v>
      </c>
      <c r="H15" s="287">
        <v>0</v>
      </c>
      <c r="I15" s="287">
        <v>0</v>
      </c>
      <c r="J15" s="287">
        <v>0</v>
      </c>
      <c r="K15" s="287">
        <v>0</v>
      </c>
      <c r="L15" s="287">
        <v>0</v>
      </c>
      <c r="M15" s="287">
        <v>0</v>
      </c>
    </row>
    <row r="16" spans="1:13" ht="15">
      <c r="A16" s="288">
        <v>6</v>
      </c>
      <c r="B16" s="328" t="s">
        <v>875</v>
      </c>
      <c r="C16" s="287">
        <v>0</v>
      </c>
      <c r="D16" s="287">
        <v>0</v>
      </c>
      <c r="E16" s="287">
        <v>0</v>
      </c>
      <c r="F16" s="287">
        <v>0</v>
      </c>
      <c r="G16" s="287">
        <v>0</v>
      </c>
      <c r="H16" s="287">
        <v>0</v>
      </c>
      <c r="I16" s="287">
        <v>0</v>
      </c>
      <c r="J16" s="287">
        <v>0</v>
      </c>
      <c r="K16" s="287">
        <v>0</v>
      </c>
      <c r="L16" s="287">
        <v>0</v>
      </c>
      <c r="M16" s="287">
        <v>0</v>
      </c>
    </row>
    <row r="17" spans="1:13" ht="15">
      <c r="A17" s="288">
        <v>7</v>
      </c>
      <c r="B17" s="328" t="s">
        <v>876</v>
      </c>
      <c r="C17" s="287">
        <v>0</v>
      </c>
      <c r="D17" s="287">
        <v>0</v>
      </c>
      <c r="E17" s="287">
        <v>0</v>
      </c>
      <c r="F17" s="287">
        <v>0</v>
      </c>
      <c r="G17" s="287">
        <v>0</v>
      </c>
      <c r="H17" s="287">
        <v>0</v>
      </c>
      <c r="I17" s="287">
        <v>0</v>
      </c>
      <c r="J17" s="287">
        <v>0</v>
      </c>
      <c r="K17" s="287">
        <v>0</v>
      </c>
      <c r="L17" s="287">
        <v>0</v>
      </c>
      <c r="M17" s="287">
        <v>0</v>
      </c>
    </row>
    <row r="18" spans="1:13" ht="15">
      <c r="A18" s="288">
        <v>8</v>
      </c>
      <c r="B18" s="328" t="s">
        <v>877</v>
      </c>
      <c r="C18" s="287">
        <v>0</v>
      </c>
      <c r="D18" s="287">
        <v>0</v>
      </c>
      <c r="E18" s="287">
        <v>0</v>
      </c>
      <c r="F18" s="287">
        <v>0</v>
      </c>
      <c r="G18" s="287">
        <v>0</v>
      </c>
      <c r="H18" s="287">
        <v>0</v>
      </c>
      <c r="I18" s="287">
        <v>0</v>
      </c>
      <c r="J18" s="287">
        <v>0</v>
      </c>
      <c r="K18" s="287">
        <v>0</v>
      </c>
      <c r="L18" s="287">
        <v>0</v>
      </c>
      <c r="M18" s="287">
        <v>0</v>
      </c>
    </row>
    <row r="19" spans="1:13" ht="15">
      <c r="A19" s="288">
        <v>9</v>
      </c>
      <c r="B19" s="328" t="s">
        <v>878</v>
      </c>
      <c r="C19" s="287">
        <v>0</v>
      </c>
      <c r="D19" s="287">
        <v>0</v>
      </c>
      <c r="E19" s="287">
        <v>0</v>
      </c>
      <c r="F19" s="287">
        <v>0</v>
      </c>
      <c r="G19" s="287">
        <v>0</v>
      </c>
      <c r="H19" s="287">
        <v>0</v>
      </c>
      <c r="I19" s="287">
        <v>0</v>
      </c>
      <c r="J19" s="287">
        <v>0</v>
      </c>
      <c r="K19" s="287">
        <v>0</v>
      </c>
      <c r="L19" s="287">
        <v>0</v>
      </c>
      <c r="M19" s="287">
        <v>0</v>
      </c>
    </row>
    <row r="20" spans="1:13" ht="15">
      <c r="A20" s="288">
        <v>10</v>
      </c>
      <c r="B20" s="328" t="s">
        <v>879</v>
      </c>
      <c r="C20" s="287">
        <v>0</v>
      </c>
      <c r="D20" s="287">
        <v>0</v>
      </c>
      <c r="E20" s="287">
        <v>0</v>
      </c>
      <c r="F20" s="287">
        <v>0</v>
      </c>
      <c r="G20" s="287">
        <v>0</v>
      </c>
      <c r="H20" s="287">
        <v>0</v>
      </c>
      <c r="I20" s="287">
        <v>0</v>
      </c>
      <c r="J20" s="287">
        <v>0</v>
      </c>
      <c r="K20" s="287">
        <v>0</v>
      </c>
      <c r="L20" s="287">
        <v>0</v>
      </c>
      <c r="M20" s="287">
        <v>0</v>
      </c>
    </row>
    <row r="21" spans="1:13" ht="15">
      <c r="A21" s="288">
        <v>11</v>
      </c>
      <c r="B21" s="328" t="s">
        <v>880</v>
      </c>
      <c r="C21" s="287">
        <v>0</v>
      </c>
      <c r="D21" s="287">
        <v>0</v>
      </c>
      <c r="E21" s="287">
        <v>0</v>
      </c>
      <c r="F21" s="287">
        <v>0</v>
      </c>
      <c r="G21" s="287">
        <v>0</v>
      </c>
      <c r="H21" s="287">
        <v>0</v>
      </c>
      <c r="I21" s="287">
        <v>0</v>
      </c>
      <c r="J21" s="287">
        <v>0</v>
      </c>
      <c r="K21" s="287">
        <v>0</v>
      </c>
      <c r="L21" s="287">
        <v>0</v>
      </c>
      <c r="M21" s="287">
        <v>0</v>
      </c>
    </row>
    <row r="22" spans="1:13" ht="15">
      <c r="A22" s="288">
        <v>12</v>
      </c>
      <c r="B22" s="328" t="s">
        <v>881</v>
      </c>
      <c r="C22" s="287">
        <v>0</v>
      </c>
      <c r="D22" s="287">
        <v>0</v>
      </c>
      <c r="E22" s="287">
        <v>0</v>
      </c>
      <c r="F22" s="287">
        <v>0</v>
      </c>
      <c r="G22" s="287">
        <v>0</v>
      </c>
      <c r="H22" s="287">
        <v>0</v>
      </c>
      <c r="I22" s="287">
        <v>0</v>
      </c>
      <c r="J22" s="287">
        <v>0</v>
      </c>
      <c r="K22" s="287">
        <v>0</v>
      </c>
      <c r="L22" s="287">
        <v>0</v>
      </c>
      <c r="M22" s="287">
        <v>0</v>
      </c>
    </row>
    <row r="23" spans="1:13" ht="15">
      <c r="A23" s="288">
        <v>13</v>
      </c>
      <c r="B23" s="328" t="s">
        <v>882</v>
      </c>
      <c r="C23" s="287">
        <v>0</v>
      </c>
      <c r="D23" s="287">
        <v>0</v>
      </c>
      <c r="E23" s="287">
        <v>0</v>
      </c>
      <c r="F23" s="287">
        <v>0</v>
      </c>
      <c r="G23" s="287">
        <v>0</v>
      </c>
      <c r="H23" s="287">
        <v>0</v>
      </c>
      <c r="I23" s="287">
        <v>0</v>
      </c>
      <c r="J23" s="287">
        <v>0</v>
      </c>
      <c r="K23" s="287">
        <v>0</v>
      </c>
      <c r="L23" s="287">
        <v>0</v>
      </c>
      <c r="M23" s="287">
        <v>0</v>
      </c>
    </row>
    <row r="24" spans="1:13" ht="15">
      <c r="A24" s="288">
        <v>14</v>
      </c>
      <c r="B24" s="328" t="s">
        <v>883</v>
      </c>
      <c r="C24" s="287">
        <v>0</v>
      </c>
      <c r="D24" s="287">
        <v>0</v>
      </c>
      <c r="E24" s="287">
        <v>0</v>
      </c>
      <c r="F24" s="287">
        <v>0</v>
      </c>
      <c r="G24" s="287">
        <v>0</v>
      </c>
      <c r="H24" s="287">
        <v>0</v>
      </c>
      <c r="I24" s="287">
        <v>0</v>
      </c>
      <c r="J24" s="287">
        <v>0</v>
      </c>
      <c r="K24" s="287">
        <v>0</v>
      </c>
      <c r="L24" s="287">
        <v>0</v>
      </c>
      <c r="M24" s="287">
        <v>0</v>
      </c>
    </row>
    <row r="25" spans="1:13" ht="15">
      <c r="A25" s="288">
        <v>15</v>
      </c>
      <c r="B25" s="328" t="s">
        <v>884</v>
      </c>
      <c r="C25" s="287">
        <v>0</v>
      </c>
      <c r="D25" s="287">
        <v>0</v>
      </c>
      <c r="E25" s="287">
        <v>0</v>
      </c>
      <c r="F25" s="287">
        <v>0</v>
      </c>
      <c r="G25" s="287">
        <v>0</v>
      </c>
      <c r="H25" s="287">
        <v>0</v>
      </c>
      <c r="I25" s="287">
        <v>0</v>
      </c>
      <c r="J25" s="287">
        <v>0</v>
      </c>
      <c r="K25" s="287">
        <v>0</v>
      </c>
      <c r="L25" s="287">
        <v>0</v>
      </c>
      <c r="M25" s="287">
        <v>0</v>
      </c>
    </row>
    <row r="26" spans="1:13" ht="15">
      <c r="A26" s="288">
        <v>16</v>
      </c>
      <c r="B26" s="328" t="s">
        <v>885</v>
      </c>
      <c r="C26" s="287">
        <v>0</v>
      </c>
      <c r="D26" s="287">
        <v>0</v>
      </c>
      <c r="E26" s="287">
        <v>0</v>
      </c>
      <c r="F26" s="287">
        <v>0</v>
      </c>
      <c r="G26" s="287">
        <v>0</v>
      </c>
      <c r="H26" s="287">
        <v>0</v>
      </c>
      <c r="I26" s="287">
        <v>0</v>
      </c>
      <c r="J26" s="287">
        <v>0</v>
      </c>
      <c r="K26" s="287">
        <v>0</v>
      </c>
      <c r="L26" s="287">
        <v>0</v>
      </c>
      <c r="M26" s="287">
        <v>0</v>
      </c>
    </row>
    <row r="27" spans="1:13" ht="15">
      <c r="A27" s="288">
        <v>17</v>
      </c>
      <c r="B27" s="328" t="s">
        <v>886</v>
      </c>
      <c r="C27" s="287">
        <v>0</v>
      </c>
      <c r="D27" s="287">
        <v>0</v>
      </c>
      <c r="E27" s="287">
        <v>0</v>
      </c>
      <c r="F27" s="287">
        <v>0</v>
      </c>
      <c r="G27" s="287">
        <v>0</v>
      </c>
      <c r="H27" s="287">
        <v>0</v>
      </c>
      <c r="I27" s="287">
        <v>0</v>
      </c>
      <c r="J27" s="287">
        <v>0</v>
      </c>
      <c r="K27" s="287">
        <v>0</v>
      </c>
      <c r="L27" s="287">
        <v>0</v>
      </c>
      <c r="M27" s="287">
        <v>0</v>
      </c>
    </row>
    <row r="28" spans="1:13" ht="15">
      <c r="A28" s="288">
        <v>18</v>
      </c>
      <c r="B28" s="328" t="s">
        <v>887</v>
      </c>
      <c r="C28" s="287">
        <v>0</v>
      </c>
      <c r="D28" s="287">
        <v>0</v>
      </c>
      <c r="E28" s="287">
        <v>0</v>
      </c>
      <c r="F28" s="287">
        <v>0</v>
      </c>
      <c r="G28" s="287">
        <v>0</v>
      </c>
      <c r="H28" s="287">
        <v>0</v>
      </c>
      <c r="I28" s="287">
        <v>0</v>
      </c>
      <c r="J28" s="287">
        <v>0</v>
      </c>
      <c r="K28" s="287">
        <v>0</v>
      </c>
      <c r="L28" s="287">
        <v>0</v>
      </c>
      <c r="M28" s="287">
        <v>0</v>
      </c>
    </row>
    <row r="29" spans="1:13" ht="15">
      <c r="A29" s="288">
        <v>19</v>
      </c>
      <c r="B29" s="328" t="s">
        <v>888</v>
      </c>
      <c r="C29" s="287">
        <v>0</v>
      </c>
      <c r="D29" s="287">
        <v>0</v>
      </c>
      <c r="E29" s="287">
        <v>0</v>
      </c>
      <c r="F29" s="287">
        <v>0</v>
      </c>
      <c r="G29" s="287">
        <v>0</v>
      </c>
      <c r="H29" s="287">
        <v>0</v>
      </c>
      <c r="I29" s="287">
        <v>0</v>
      </c>
      <c r="J29" s="287">
        <v>0</v>
      </c>
      <c r="K29" s="287">
        <v>0</v>
      </c>
      <c r="L29" s="287">
        <v>0</v>
      </c>
      <c r="M29" s="287">
        <v>0</v>
      </c>
    </row>
    <row r="30" spans="1:13" ht="15">
      <c r="A30" s="288">
        <v>20</v>
      </c>
      <c r="B30" s="328" t="s">
        <v>889</v>
      </c>
      <c r="C30" s="287">
        <v>0</v>
      </c>
      <c r="D30" s="287">
        <v>0</v>
      </c>
      <c r="E30" s="287">
        <v>0</v>
      </c>
      <c r="F30" s="287">
        <v>0</v>
      </c>
      <c r="G30" s="287">
        <v>0</v>
      </c>
      <c r="H30" s="287">
        <v>0</v>
      </c>
      <c r="I30" s="287">
        <v>0</v>
      </c>
      <c r="J30" s="287">
        <v>0</v>
      </c>
      <c r="K30" s="287">
        <v>0</v>
      </c>
      <c r="L30" s="287">
        <v>0</v>
      </c>
      <c r="M30" s="287">
        <v>0</v>
      </c>
    </row>
    <row r="31" spans="1:13" ht="15">
      <c r="A31" s="288">
        <v>21</v>
      </c>
      <c r="B31" s="328" t="s">
        <v>890</v>
      </c>
      <c r="C31" s="287">
        <v>0</v>
      </c>
      <c r="D31" s="287">
        <v>0</v>
      </c>
      <c r="E31" s="287">
        <v>0</v>
      </c>
      <c r="F31" s="287">
        <v>0</v>
      </c>
      <c r="G31" s="287">
        <v>0</v>
      </c>
      <c r="H31" s="287">
        <v>0</v>
      </c>
      <c r="I31" s="287">
        <v>0</v>
      </c>
      <c r="J31" s="287">
        <v>0</v>
      </c>
      <c r="K31" s="287">
        <v>0</v>
      </c>
      <c r="L31" s="287">
        <v>0</v>
      </c>
      <c r="M31" s="287">
        <v>0</v>
      </c>
    </row>
    <row r="32" spans="1:13" ht="15">
      <c r="A32" s="288">
        <v>22</v>
      </c>
      <c r="B32" s="328" t="s">
        <v>891</v>
      </c>
      <c r="C32" s="287">
        <v>0</v>
      </c>
      <c r="D32" s="287">
        <v>0</v>
      </c>
      <c r="E32" s="287">
        <v>0</v>
      </c>
      <c r="F32" s="287">
        <v>0</v>
      </c>
      <c r="G32" s="287">
        <v>0</v>
      </c>
      <c r="H32" s="287">
        <v>0</v>
      </c>
      <c r="I32" s="287">
        <v>0</v>
      </c>
      <c r="J32" s="287">
        <v>0</v>
      </c>
      <c r="K32" s="287">
        <v>0</v>
      </c>
      <c r="L32" s="287">
        <v>0</v>
      </c>
      <c r="M32" s="287">
        <v>0</v>
      </c>
    </row>
    <row r="33" spans="1:13" ht="15">
      <c r="A33" s="288">
        <v>23</v>
      </c>
      <c r="B33" s="328" t="s">
        <v>892</v>
      </c>
      <c r="C33" s="287">
        <v>0</v>
      </c>
      <c r="D33" s="287">
        <v>0</v>
      </c>
      <c r="E33" s="287">
        <v>0</v>
      </c>
      <c r="F33" s="287">
        <v>0</v>
      </c>
      <c r="G33" s="287">
        <v>0</v>
      </c>
      <c r="H33" s="287">
        <v>0</v>
      </c>
      <c r="I33" s="287">
        <v>0</v>
      </c>
      <c r="J33" s="287">
        <v>0</v>
      </c>
      <c r="K33" s="287">
        <v>0</v>
      </c>
      <c r="L33" s="287">
        <v>0</v>
      </c>
      <c r="M33" s="287">
        <v>0</v>
      </c>
    </row>
    <row r="34" spans="1:13" ht="15">
      <c r="A34" s="288">
        <v>24</v>
      </c>
      <c r="B34" s="328" t="s">
        <v>893</v>
      </c>
      <c r="C34" s="287">
        <v>0</v>
      </c>
      <c r="D34" s="287">
        <v>0</v>
      </c>
      <c r="E34" s="287">
        <v>0</v>
      </c>
      <c r="F34" s="287">
        <v>0</v>
      </c>
      <c r="G34" s="287">
        <v>0</v>
      </c>
      <c r="H34" s="287">
        <v>0</v>
      </c>
      <c r="I34" s="287">
        <v>0</v>
      </c>
      <c r="J34" s="287">
        <v>0</v>
      </c>
      <c r="K34" s="287">
        <v>0</v>
      </c>
      <c r="L34" s="287">
        <v>0</v>
      </c>
      <c r="M34" s="287">
        <v>0</v>
      </c>
    </row>
    <row r="35" spans="1:13" ht="15">
      <c r="A35" s="288">
        <v>25</v>
      </c>
      <c r="B35" s="328" t="s">
        <v>894</v>
      </c>
      <c r="C35" s="287">
        <v>0</v>
      </c>
      <c r="D35" s="287">
        <v>0</v>
      </c>
      <c r="E35" s="287">
        <v>0</v>
      </c>
      <c r="F35" s="287">
        <v>0</v>
      </c>
      <c r="G35" s="287">
        <v>0</v>
      </c>
      <c r="H35" s="287">
        <v>0</v>
      </c>
      <c r="I35" s="287">
        <v>0</v>
      </c>
      <c r="J35" s="287">
        <v>0</v>
      </c>
      <c r="K35" s="287">
        <v>0</v>
      </c>
      <c r="L35" s="287">
        <v>0</v>
      </c>
      <c r="M35" s="287">
        <v>0</v>
      </c>
    </row>
    <row r="36" spans="1:13" ht="15">
      <c r="A36" s="288">
        <v>26</v>
      </c>
      <c r="B36" s="328" t="s">
        <v>895</v>
      </c>
      <c r="C36" s="287">
        <v>0</v>
      </c>
      <c r="D36" s="287">
        <v>0</v>
      </c>
      <c r="E36" s="287">
        <v>0</v>
      </c>
      <c r="F36" s="287">
        <v>0</v>
      </c>
      <c r="G36" s="287">
        <v>0</v>
      </c>
      <c r="H36" s="287">
        <v>0</v>
      </c>
      <c r="I36" s="287">
        <v>0</v>
      </c>
      <c r="J36" s="287">
        <v>0</v>
      </c>
      <c r="K36" s="287">
        <v>0</v>
      </c>
      <c r="L36" s="287">
        <v>0</v>
      </c>
      <c r="M36" s="287">
        <v>0</v>
      </c>
    </row>
    <row r="37" spans="1:13" ht="15">
      <c r="A37" s="288">
        <v>27</v>
      </c>
      <c r="B37" s="328" t="s">
        <v>896</v>
      </c>
      <c r="C37" s="287">
        <v>0</v>
      </c>
      <c r="D37" s="287">
        <v>0</v>
      </c>
      <c r="E37" s="287">
        <v>0</v>
      </c>
      <c r="F37" s="287">
        <v>0</v>
      </c>
      <c r="G37" s="287">
        <v>0</v>
      </c>
      <c r="H37" s="287">
        <v>0</v>
      </c>
      <c r="I37" s="287">
        <v>0</v>
      </c>
      <c r="J37" s="287">
        <v>0</v>
      </c>
      <c r="K37" s="287">
        <v>0</v>
      </c>
      <c r="L37" s="287">
        <v>0</v>
      </c>
      <c r="M37" s="287">
        <v>0</v>
      </c>
    </row>
    <row r="38" spans="1:13" ht="15">
      <c r="A38" s="288">
        <v>28</v>
      </c>
      <c r="B38" s="328" t="s">
        <v>897</v>
      </c>
      <c r="C38" s="287">
        <v>0</v>
      </c>
      <c r="D38" s="287">
        <v>0</v>
      </c>
      <c r="E38" s="287">
        <v>0</v>
      </c>
      <c r="F38" s="287">
        <v>0</v>
      </c>
      <c r="G38" s="287">
        <v>0</v>
      </c>
      <c r="H38" s="287">
        <v>0</v>
      </c>
      <c r="I38" s="287">
        <v>0</v>
      </c>
      <c r="J38" s="287">
        <v>0</v>
      </c>
      <c r="K38" s="287">
        <v>0</v>
      </c>
      <c r="L38" s="287">
        <v>0</v>
      </c>
      <c r="M38" s="287">
        <v>0</v>
      </c>
    </row>
    <row r="39" spans="1:13" ht="15">
      <c r="A39" s="288">
        <v>29</v>
      </c>
      <c r="B39" s="328" t="s">
        <v>898</v>
      </c>
      <c r="C39" s="287">
        <v>0</v>
      </c>
      <c r="D39" s="287">
        <v>0</v>
      </c>
      <c r="E39" s="287">
        <v>0</v>
      </c>
      <c r="F39" s="287">
        <v>0</v>
      </c>
      <c r="G39" s="287">
        <v>0</v>
      </c>
      <c r="H39" s="287">
        <v>0</v>
      </c>
      <c r="I39" s="287">
        <v>0</v>
      </c>
      <c r="J39" s="287">
        <v>0</v>
      </c>
      <c r="K39" s="287">
        <v>0</v>
      </c>
      <c r="L39" s="287">
        <v>0</v>
      </c>
      <c r="M39" s="287">
        <v>0</v>
      </c>
    </row>
    <row r="40" spans="1:13" ht="15">
      <c r="A40" s="288">
        <v>30</v>
      </c>
      <c r="B40" s="328" t="s">
        <v>899</v>
      </c>
      <c r="C40" s="287">
        <v>0</v>
      </c>
      <c r="D40" s="287">
        <v>0</v>
      </c>
      <c r="E40" s="287">
        <v>0</v>
      </c>
      <c r="F40" s="287">
        <v>0</v>
      </c>
      <c r="G40" s="287">
        <v>0</v>
      </c>
      <c r="H40" s="287">
        <v>0</v>
      </c>
      <c r="I40" s="287">
        <v>0</v>
      </c>
      <c r="J40" s="287">
        <v>0</v>
      </c>
      <c r="K40" s="287">
        <v>0</v>
      </c>
      <c r="L40" s="287">
        <v>0</v>
      </c>
      <c r="M40" s="287">
        <v>0</v>
      </c>
    </row>
    <row r="41" spans="1:13" ht="15">
      <c r="A41" s="288">
        <v>31</v>
      </c>
      <c r="B41" s="328" t="s">
        <v>900</v>
      </c>
      <c r="C41" s="287">
        <v>0</v>
      </c>
      <c r="D41" s="287">
        <v>0</v>
      </c>
      <c r="E41" s="287">
        <v>0</v>
      </c>
      <c r="F41" s="287">
        <v>0</v>
      </c>
      <c r="G41" s="287">
        <v>0</v>
      </c>
      <c r="H41" s="287">
        <v>0</v>
      </c>
      <c r="I41" s="287">
        <v>0</v>
      </c>
      <c r="J41" s="287">
        <v>0</v>
      </c>
      <c r="K41" s="287">
        <v>0</v>
      </c>
      <c r="L41" s="287">
        <v>0</v>
      </c>
      <c r="M41" s="287">
        <v>0</v>
      </c>
    </row>
    <row r="42" spans="1:13" ht="15">
      <c r="A42" s="288">
        <v>32</v>
      </c>
      <c r="B42" s="328" t="s">
        <v>901</v>
      </c>
      <c r="C42" s="287">
        <v>0</v>
      </c>
      <c r="D42" s="287">
        <v>0</v>
      </c>
      <c r="E42" s="287">
        <v>0</v>
      </c>
      <c r="F42" s="287">
        <v>0</v>
      </c>
      <c r="G42" s="287">
        <v>0</v>
      </c>
      <c r="H42" s="287">
        <v>0</v>
      </c>
      <c r="I42" s="287">
        <v>0</v>
      </c>
      <c r="J42" s="287">
        <v>0</v>
      </c>
      <c r="K42" s="287">
        <v>0</v>
      </c>
      <c r="L42" s="287">
        <v>0</v>
      </c>
      <c r="M42" s="287">
        <v>0</v>
      </c>
    </row>
    <row r="43" spans="1:13" ht="15">
      <c r="A43" s="288">
        <v>33</v>
      </c>
      <c r="B43" s="328" t="s">
        <v>902</v>
      </c>
      <c r="C43" s="287">
        <v>0</v>
      </c>
      <c r="D43" s="287">
        <v>0</v>
      </c>
      <c r="E43" s="287">
        <v>0</v>
      </c>
      <c r="F43" s="287">
        <v>0</v>
      </c>
      <c r="G43" s="287">
        <v>0</v>
      </c>
      <c r="H43" s="287">
        <v>0</v>
      </c>
      <c r="I43" s="287">
        <v>0</v>
      </c>
      <c r="J43" s="287">
        <v>0</v>
      </c>
      <c r="K43" s="287">
        <v>0</v>
      </c>
      <c r="L43" s="287">
        <v>0</v>
      </c>
      <c r="M43" s="287">
        <v>0</v>
      </c>
    </row>
    <row r="44" spans="1:13" ht="15">
      <c r="A44" s="288">
        <v>34</v>
      </c>
      <c r="B44" s="328" t="s">
        <v>903</v>
      </c>
      <c r="C44" s="287">
        <v>0</v>
      </c>
      <c r="D44" s="287">
        <v>0</v>
      </c>
      <c r="E44" s="287">
        <v>0</v>
      </c>
      <c r="F44" s="287">
        <v>0</v>
      </c>
      <c r="G44" s="287">
        <v>0</v>
      </c>
      <c r="H44" s="287">
        <v>0</v>
      </c>
      <c r="I44" s="287">
        <v>0</v>
      </c>
      <c r="J44" s="287">
        <v>0</v>
      </c>
      <c r="K44" s="287">
        <v>0</v>
      </c>
      <c r="L44" s="287">
        <v>0</v>
      </c>
      <c r="M44" s="287">
        <v>0</v>
      </c>
    </row>
    <row r="45" spans="1:13" ht="15">
      <c r="A45" s="288">
        <v>35</v>
      </c>
      <c r="B45" s="328" t="s">
        <v>904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</row>
    <row r="46" spans="1:13" ht="12.75">
      <c r="A46" s="30" t="s">
        <v>19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2:6" ht="16.5" customHeight="1">
      <c r="B47" s="235"/>
      <c r="C47" s="997"/>
      <c r="D47" s="997"/>
      <c r="E47" s="997"/>
      <c r="F47" s="997"/>
    </row>
    <row r="49" spans="1:13" ht="12.75" customHeight="1">
      <c r="A49" s="203"/>
      <c r="B49" s="203"/>
      <c r="C49" s="748" t="s">
        <v>1021</v>
      </c>
      <c r="D49" s="748"/>
      <c r="E49" s="748"/>
      <c r="F49" s="748"/>
      <c r="I49" s="204"/>
      <c r="J49" s="748" t="s">
        <v>1024</v>
      </c>
      <c r="K49" s="748"/>
      <c r="L49" s="748"/>
      <c r="M49" s="748"/>
    </row>
    <row r="50" spans="1:13" ht="15" customHeight="1">
      <c r="A50" s="203"/>
      <c r="B50" s="203"/>
      <c r="C50" s="748" t="s">
        <v>1022</v>
      </c>
      <c r="D50" s="748"/>
      <c r="E50" s="748"/>
      <c r="F50" s="748"/>
      <c r="I50" s="217"/>
      <c r="J50" s="748" t="s">
        <v>1025</v>
      </c>
      <c r="K50" s="748"/>
      <c r="L50" s="748"/>
      <c r="M50" s="748"/>
    </row>
    <row r="51" spans="1:13" ht="15" customHeight="1">
      <c r="A51" s="203"/>
      <c r="B51" s="203"/>
      <c r="C51" s="735" t="s">
        <v>1023</v>
      </c>
      <c r="D51" s="735"/>
      <c r="E51" s="735"/>
      <c r="F51" s="735"/>
      <c r="I51" s="217"/>
      <c r="J51" s="735" t="s">
        <v>1023</v>
      </c>
      <c r="K51" s="735"/>
      <c r="L51" s="735"/>
      <c r="M51" s="735"/>
    </row>
    <row r="52" spans="1:12" ht="12.75">
      <c r="A52" s="203" t="s">
        <v>12</v>
      </c>
      <c r="I52" s="205"/>
      <c r="J52" s="205"/>
      <c r="K52" s="205"/>
      <c r="L52" s="205"/>
    </row>
  </sheetData>
  <sheetProtection/>
  <mergeCells count="17">
    <mergeCell ref="H6:L8"/>
    <mergeCell ref="H5:M5"/>
    <mergeCell ref="A4:M4"/>
    <mergeCell ref="M6:M9"/>
    <mergeCell ref="A6:A9"/>
    <mergeCell ref="B6:B9"/>
    <mergeCell ref="C6:G8"/>
    <mergeCell ref="B2:L2"/>
    <mergeCell ref="L1:M1"/>
    <mergeCell ref="C1:I1"/>
    <mergeCell ref="J49:M49"/>
    <mergeCell ref="J50:M50"/>
    <mergeCell ref="J51:M51"/>
    <mergeCell ref="C49:F49"/>
    <mergeCell ref="C50:F50"/>
    <mergeCell ref="C51:F51"/>
    <mergeCell ref="C47:F47"/>
  </mergeCells>
  <printOptions horizontalCentered="1"/>
  <pageMargins left="0.7086614173228347" right="0.7086614173228347" top="0.2362204724409449" bottom="0" header="0.23" footer="0.2"/>
  <pageSetup fitToHeight="1" fitToWidth="1" horizontalDpi="600" verticalDpi="600" orientation="landscape" paperSize="9" scale="69" r:id="rId1"/>
  <colBreaks count="1" manualBreakCount="1">
    <brk id="13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90" zoomScaleSheetLayoutView="90" zoomScalePageLayoutView="0" workbookViewId="0" topLeftCell="A28">
      <selection activeCell="D45" sqref="D45:E45"/>
    </sheetView>
  </sheetViews>
  <sheetFormatPr defaultColWidth="9.140625" defaultRowHeight="12.75"/>
  <cols>
    <col min="1" max="1" width="36.00390625" style="0" customWidth="1"/>
    <col min="2" max="2" width="25.7109375" style="0" customWidth="1"/>
    <col min="3" max="3" width="21.8515625" style="0" customWidth="1"/>
    <col min="4" max="4" width="22.57421875" style="0" customWidth="1"/>
    <col min="5" max="5" width="19.421875" style="0" customWidth="1"/>
    <col min="6" max="6" width="22.7109375" style="0" customWidth="1"/>
  </cols>
  <sheetData>
    <row r="1" spans="1:12" ht="18">
      <c r="A1" s="801" t="s">
        <v>0</v>
      </c>
      <c r="B1" s="801"/>
      <c r="C1" s="801"/>
      <c r="D1" s="801"/>
      <c r="E1" s="801"/>
      <c r="F1" s="236" t="s">
        <v>550</v>
      </c>
      <c r="G1" s="226"/>
      <c r="H1" s="226"/>
      <c r="I1" s="226"/>
      <c r="J1" s="226"/>
      <c r="K1" s="226"/>
      <c r="L1" s="226"/>
    </row>
    <row r="2" spans="1:12" ht="21">
      <c r="A2" s="802" t="s">
        <v>656</v>
      </c>
      <c r="B2" s="802"/>
      <c r="C2" s="802"/>
      <c r="D2" s="802"/>
      <c r="E2" s="802"/>
      <c r="F2" s="802"/>
      <c r="G2" s="227"/>
      <c r="H2" s="227"/>
      <c r="I2" s="227"/>
      <c r="J2" s="227"/>
      <c r="K2" s="227"/>
      <c r="L2" s="227"/>
    </row>
    <row r="3" spans="1:6" ht="12.75">
      <c r="A3" s="154"/>
      <c r="B3" s="154"/>
      <c r="C3" s="154"/>
      <c r="D3" s="154"/>
      <c r="E3" s="154"/>
      <c r="F3" s="154"/>
    </row>
    <row r="4" spans="1:7" ht="18.75">
      <c r="A4" s="1009" t="s">
        <v>549</v>
      </c>
      <c r="B4" s="1009"/>
      <c r="C4" s="1009"/>
      <c r="D4" s="1009"/>
      <c r="E4" s="1009"/>
      <c r="F4" s="1009"/>
      <c r="G4" s="509"/>
    </row>
    <row r="5" spans="1:7" ht="18.75">
      <c r="A5" s="208" t="s">
        <v>1020</v>
      </c>
      <c r="B5" s="208"/>
      <c r="C5" s="209"/>
      <c r="D5" s="237"/>
      <c r="E5" s="237"/>
      <c r="F5" s="237"/>
      <c r="G5" s="237"/>
    </row>
    <row r="6" spans="1:6" ht="31.5">
      <c r="A6" s="238"/>
      <c r="B6" s="239" t="s">
        <v>332</v>
      </c>
      <c r="C6" s="239" t="s">
        <v>333</v>
      </c>
      <c r="D6" s="239" t="s">
        <v>334</v>
      </c>
      <c r="E6" s="240"/>
      <c r="F6" s="240"/>
    </row>
    <row r="7" spans="1:6" ht="15">
      <c r="A7" s="241" t="s">
        <v>335</v>
      </c>
      <c r="B7" s="241" t="s">
        <v>1006</v>
      </c>
      <c r="C7" s="241" t="s">
        <v>1006</v>
      </c>
      <c r="D7" s="241" t="s">
        <v>1006</v>
      </c>
      <c r="E7" s="240"/>
      <c r="F7" s="240"/>
    </row>
    <row r="8" spans="1:6" ht="13.5" customHeight="1">
      <c r="A8" s="241" t="s">
        <v>336</v>
      </c>
      <c r="B8" s="241" t="s">
        <v>1007</v>
      </c>
      <c r="C8" s="241" t="s">
        <v>1007</v>
      </c>
      <c r="D8" s="241" t="s">
        <v>1007</v>
      </c>
      <c r="E8" s="240"/>
      <c r="F8" s="240"/>
    </row>
    <row r="9" spans="1:6" ht="25.5" customHeight="1">
      <c r="A9" s="241" t="s">
        <v>337</v>
      </c>
      <c r="B9" s="241" t="s">
        <v>1008</v>
      </c>
      <c r="C9" s="241" t="s">
        <v>1008</v>
      </c>
      <c r="D9" s="241" t="s">
        <v>1008</v>
      </c>
      <c r="E9" s="240"/>
      <c r="F9" s="240"/>
    </row>
    <row r="10" spans="1:6" ht="13.5" customHeight="1">
      <c r="A10" s="242" t="s">
        <v>338</v>
      </c>
      <c r="B10" s="241">
        <v>18002339988</v>
      </c>
      <c r="C10" s="241"/>
      <c r="D10" s="241"/>
      <c r="E10" s="240"/>
      <c r="F10" s="240"/>
    </row>
    <row r="11" spans="1:6" ht="13.5" customHeight="1">
      <c r="A11" s="242" t="s">
        <v>339</v>
      </c>
      <c r="B11" s="241">
        <v>26128157</v>
      </c>
      <c r="C11" s="241"/>
      <c r="D11" s="241"/>
      <c r="E11" s="240"/>
      <c r="F11" s="240"/>
    </row>
    <row r="12" spans="1:6" ht="13.5" customHeight="1">
      <c r="A12" s="242" t="s">
        <v>340</v>
      </c>
      <c r="B12" s="241" t="s">
        <v>1006</v>
      </c>
      <c r="C12" s="241"/>
      <c r="D12" s="241"/>
      <c r="E12" s="240"/>
      <c r="F12" s="240"/>
    </row>
    <row r="13" spans="1:6" ht="13.5" customHeight="1">
      <c r="A13" s="242" t="s">
        <v>341</v>
      </c>
      <c r="B13" s="241" t="s">
        <v>1007</v>
      </c>
      <c r="C13" s="241" t="s">
        <v>1007</v>
      </c>
      <c r="D13" s="241" t="s">
        <v>1007</v>
      </c>
      <c r="E13" s="240"/>
      <c r="F13" s="240"/>
    </row>
    <row r="14" spans="1:6" ht="13.5" customHeight="1">
      <c r="A14" s="242" t="s">
        <v>342</v>
      </c>
      <c r="B14" s="241"/>
      <c r="C14" s="241"/>
      <c r="D14" s="241"/>
      <c r="E14" s="240"/>
      <c r="F14" s="240"/>
    </row>
    <row r="15" spans="1:6" ht="13.5" customHeight="1">
      <c r="A15" s="242" t="s">
        <v>343</v>
      </c>
      <c r="B15" s="241"/>
      <c r="C15" s="241"/>
      <c r="D15" s="241"/>
      <c r="E15" s="240"/>
      <c r="F15" s="240"/>
    </row>
    <row r="16" spans="1:6" ht="13.5" customHeight="1">
      <c r="A16" s="242" t="s">
        <v>344</v>
      </c>
      <c r="B16" s="241"/>
      <c r="C16" s="241"/>
      <c r="D16" s="241"/>
      <c r="E16" s="240"/>
      <c r="F16" s="240"/>
    </row>
    <row r="17" spans="1:6" ht="13.5" customHeight="1">
      <c r="A17" s="242" t="s">
        <v>345</v>
      </c>
      <c r="B17" s="241"/>
      <c r="C17" s="241"/>
      <c r="D17" s="241"/>
      <c r="E17" s="240"/>
      <c r="F17" s="240"/>
    </row>
    <row r="18" spans="1:6" ht="13.5" customHeight="1">
      <c r="A18" s="243"/>
      <c r="B18" s="244"/>
      <c r="C18" s="244"/>
      <c r="D18" s="244"/>
      <c r="E18" s="240"/>
      <c r="F18" s="240"/>
    </row>
    <row r="19" spans="1:7" ht="13.5" customHeight="1">
      <c r="A19" s="1010" t="s">
        <v>346</v>
      </c>
      <c r="B19" s="1010"/>
      <c r="C19" s="1010"/>
      <c r="D19" s="1010"/>
      <c r="E19" s="1010"/>
      <c r="F19" s="1010"/>
      <c r="G19" s="510"/>
    </row>
    <row r="20" spans="1:7" ht="15">
      <c r="A20" s="240"/>
      <c r="B20" s="240"/>
      <c r="C20" s="240"/>
      <c r="D20" s="240"/>
      <c r="E20" s="842" t="s">
        <v>820</v>
      </c>
      <c r="F20" s="842"/>
      <c r="G20" s="108"/>
    </row>
    <row r="21" spans="1:7" ht="45.75" customHeight="1">
      <c r="A21" s="230" t="s">
        <v>437</v>
      </c>
      <c r="B21" s="230" t="s">
        <v>3</v>
      </c>
      <c r="C21" s="245" t="s">
        <v>347</v>
      </c>
      <c r="D21" s="246" t="s">
        <v>348</v>
      </c>
      <c r="E21" s="296" t="s">
        <v>349</v>
      </c>
      <c r="F21" s="296" t="s">
        <v>350</v>
      </c>
      <c r="G21" s="13"/>
    </row>
    <row r="22" spans="1:6" ht="12.75">
      <c r="A22" s="241" t="s">
        <v>351</v>
      </c>
      <c r="B22" s="241" t="s">
        <v>7</v>
      </c>
      <c r="C22" s="241" t="s">
        <v>7</v>
      </c>
      <c r="D22" s="241" t="s">
        <v>7</v>
      </c>
      <c r="E22" s="241" t="s">
        <v>7</v>
      </c>
      <c r="F22" s="241" t="s">
        <v>7</v>
      </c>
    </row>
    <row r="23" spans="1:6" ht="15">
      <c r="A23" s="241" t="s">
        <v>352</v>
      </c>
      <c r="B23" s="241" t="s">
        <v>1010</v>
      </c>
      <c r="C23" s="241">
        <v>2</v>
      </c>
      <c r="D23" s="520" t="s">
        <v>1012</v>
      </c>
      <c r="E23" s="248" t="s">
        <v>1011</v>
      </c>
      <c r="F23" s="248" t="s">
        <v>1013</v>
      </c>
    </row>
    <row r="24" spans="1:6" ht="15">
      <c r="A24" s="241" t="s">
        <v>353</v>
      </c>
      <c r="B24" s="241" t="s">
        <v>887</v>
      </c>
      <c r="C24" s="9">
        <v>1</v>
      </c>
      <c r="D24" s="520">
        <v>42887</v>
      </c>
      <c r="E24" s="248" t="s">
        <v>1011</v>
      </c>
      <c r="F24" s="248" t="s">
        <v>1014</v>
      </c>
    </row>
    <row r="25" spans="1:6" ht="25.5">
      <c r="A25" s="241" t="s">
        <v>354</v>
      </c>
      <c r="B25" s="241" t="s">
        <v>1009</v>
      </c>
      <c r="C25" s="9">
        <v>3</v>
      </c>
      <c r="D25" s="520" t="s">
        <v>1012</v>
      </c>
      <c r="E25" s="248" t="s">
        <v>1011</v>
      </c>
      <c r="F25" s="248" t="s">
        <v>1013</v>
      </c>
    </row>
    <row r="26" spans="1:6" ht="32.25" customHeight="1">
      <c r="A26" s="241" t="s">
        <v>355</v>
      </c>
      <c r="B26" s="241" t="s">
        <v>7</v>
      </c>
      <c r="C26" s="241" t="s">
        <v>7</v>
      </c>
      <c r="D26" s="241" t="s">
        <v>7</v>
      </c>
      <c r="E26" s="241" t="s">
        <v>7</v>
      </c>
      <c r="F26" s="241" t="s">
        <v>7</v>
      </c>
    </row>
    <row r="27" spans="1:6" ht="12.75">
      <c r="A27" s="241" t="s">
        <v>356</v>
      </c>
      <c r="B27" s="241" t="s">
        <v>7</v>
      </c>
      <c r="C27" s="241" t="s">
        <v>7</v>
      </c>
      <c r="D27" s="241" t="s">
        <v>7</v>
      </c>
      <c r="E27" s="241" t="s">
        <v>7</v>
      </c>
      <c r="F27" s="241" t="s">
        <v>7</v>
      </c>
    </row>
    <row r="28" spans="1:6" ht="12.75">
      <c r="A28" s="241" t="s">
        <v>357</v>
      </c>
      <c r="B28" s="241" t="s">
        <v>7</v>
      </c>
      <c r="C28" s="241" t="s">
        <v>7</v>
      </c>
      <c r="D28" s="241" t="s">
        <v>7</v>
      </c>
      <c r="E28" s="241" t="s">
        <v>7</v>
      </c>
      <c r="F28" s="241" t="s">
        <v>7</v>
      </c>
    </row>
    <row r="29" spans="1:6" ht="12.75">
      <c r="A29" s="241" t="s">
        <v>358</v>
      </c>
      <c r="B29" s="241" t="s">
        <v>7</v>
      </c>
      <c r="C29" s="241" t="s">
        <v>7</v>
      </c>
      <c r="D29" s="241" t="s">
        <v>7</v>
      </c>
      <c r="E29" s="241" t="s">
        <v>7</v>
      </c>
      <c r="F29" s="241" t="s">
        <v>7</v>
      </c>
    </row>
    <row r="30" spans="1:6" ht="12.75">
      <c r="A30" s="241" t="s">
        <v>359</v>
      </c>
      <c r="B30" s="241" t="s">
        <v>7</v>
      </c>
      <c r="C30" s="241" t="s">
        <v>7</v>
      </c>
      <c r="D30" s="241" t="s">
        <v>7</v>
      </c>
      <c r="E30" s="241" t="s">
        <v>7</v>
      </c>
      <c r="F30" s="241" t="s">
        <v>7</v>
      </c>
    </row>
    <row r="31" spans="1:6" ht="12.75">
      <c r="A31" s="241" t="s">
        <v>360</v>
      </c>
      <c r="B31" s="241" t="s">
        <v>7</v>
      </c>
      <c r="C31" s="241" t="s">
        <v>7</v>
      </c>
      <c r="D31" s="241" t="s">
        <v>7</v>
      </c>
      <c r="E31" s="241" t="s">
        <v>7</v>
      </c>
      <c r="F31" s="241" t="s">
        <v>7</v>
      </c>
    </row>
    <row r="32" spans="1:6" ht="12.75">
      <c r="A32" s="241" t="s">
        <v>361</v>
      </c>
      <c r="B32" s="241" t="s">
        <v>7</v>
      </c>
      <c r="C32" s="241" t="s">
        <v>7</v>
      </c>
      <c r="D32" s="241" t="s">
        <v>7</v>
      </c>
      <c r="E32" s="241" t="s">
        <v>7</v>
      </c>
      <c r="F32" s="241" t="s">
        <v>7</v>
      </c>
    </row>
    <row r="33" spans="1:6" ht="12.75">
      <c r="A33" s="241" t="s">
        <v>362</v>
      </c>
      <c r="B33" s="241" t="s">
        <v>7</v>
      </c>
      <c r="C33" s="241" t="s">
        <v>7</v>
      </c>
      <c r="D33" s="241" t="s">
        <v>7</v>
      </c>
      <c r="E33" s="241" t="s">
        <v>7</v>
      </c>
      <c r="F33" s="241" t="s">
        <v>7</v>
      </c>
    </row>
    <row r="34" spans="1:6" ht="12.75">
      <c r="A34" s="241" t="s">
        <v>363</v>
      </c>
      <c r="B34" s="241" t="s">
        <v>7</v>
      </c>
      <c r="C34" s="241" t="s">
        <v>7</v>
      </c>
      <c r="D34" s="241" t="s">
        <v>7</v>
      </c>
      <c r="E34" s="241" t="s">
        <v>7</v>
      </c>
      <c r="F34" s="241" t="s">
        <v>7</v>
      </c>
    </row>
    <row r="35" spans="1:6" ht="12.75">
      <c r="A35" s="241" t="s">
        <v>364</v>
      </c>
      <c r="B35" s="241" t="s">
        <v>7</v>
      </c>
      <c r="C35" s="241" t="s">
        <v>7</v>
      </c>
      <c r="D35" s="241" t="s">
        <v>7</v>
      </c>
      <c r="E35" s="241" t="s">
        <v>7</v>
      </c>
      <c r="F35" s="241" t="s">
        <v>7</v>
      </c>
    </row>
    <row r="36" spans="1:6" ht="12.75">
      <c r="A36" s="241" t="s">
        <v>365</v>
      </c>
      <c r="B36" s="241" t="s">
        <v>7</v>
      </c>
      <c r="C36" s="241" t="s">
        <v>7</v>
      </c>
      <c r="D36" s="241" t="s">
        <v>7</v>
      </c>
      <c r="E36" s="241" t="s">
        <v>7</v>
      </c>
      <c r="F36" s="241" t="s">
        <v>7</v>
      </c>
    </row>
    <row r="37" spans="1:6" ht="12.75">
      <c r="A37" s="241" t="s">
        <v>366</v>
      </c>
      <c r="B37" s="241" t="s">
        <v>7</v>
      </c>
      <c r="C37" s="241" t="s">
        <v>7</v>
      </c>
      <c r="D37" s="241" t="s">
        <v>7</v>
      </c>
      <c r="E37" s="241" t="s">
        <v>7</v>
      </c>
      <c r="F37" s="241" t="s">
        <v>7</v>
      </c>
    </row>
    <row r="38" spans="1:6" ht="12.75">
      <c r="A38" s="241" t="s">
        <v>47</v>
      </c>
      <c r="B38" s="241" t="s">
        <v>7</v>
      </c>
      <c r="C38" s="241" t="s">
        <v>7</v>
      </c>
      <c r="D38" s="241" t="s">
        <v>7</v>
      </c>
      <c r="E38" s="241" t="s">
        <v>7</v>
      </c>
      <c r="F38" s="241" t="s">
        <v>7</v>
      </c>
    </row>
    <row r="39" spans="1:6" ht="15">
      <c r="A39" s="249" t="s">
        <v>19</v>
      </c>
      <c r="B39" s="241"/>
      <c r="C39" s="241">
        <v>6</v>
      </c>
      <c r="D39" s="247"/>
      <c r="E39" s="248"/>
      <c r="F39" s="248"/>
    </row>
    <row r="43" spans="1:5" ht="15" customHeight="1">
      <c r="A43" s="203"/>
      <c r="B43" s="748" t="s">
        <v>1021</v>
      </c>
      <c r="C43" s="748"/>
      <c r="D43" s="748" t="s">
        <v>1024</v>
      </c>
      <c r="E43" s="748"/>
    </row>
    <row r="44" spans="1:5" ht="15" customHeight="1">
      <c r="A44" s="203"/>
      <c r="B44" s="748" t="s">
        <v>1022</v>
      </c>
      <c r="C44" s="748"/>
      <c r="D44" s="748" t="s">
        <v>1025</v>
      </c>
      <c r="E44" s="748"/>
    </row>
    <row r="45" spans="1:5" ht="15" customHeight="1">
      <c r="A45" s="203"/>
      <c r="B45" s="735" t="s">
        <v>1023</v>
      </c>
      <c r="C45" s="735"/>
      <c r="D45" s="735" t="s">
        <v>1023</v>
      </c>
      <c r="E45" s="735"/>
    </row>
    <row r="46" ht="12.75">
      <c r="A46" s="203" t="s">
        <v>12</v>
      </c>
    </row>
  </sheetData>
  <sheetProtection/>
  <mergeCells count="11">
    <mergeCell ref="B44:C44"/>
    <mergeCell ref="D44:E44"/>
    <mergeCell ref="B45:C45"/>
    <mergeCell ref="D45:E45"/>
    <mergeCell ref="A1:E1"/>
    <mergeCell ref="A2:F2"/>
    <mergeCell ref="E20:F20"/>
    <mergeCell ref="A4:F4"/>
    <mergeCell ref="A19:F19"/>
    <mergeCell ref="B43:C43"/>
    <mergeCell ref="D43:E43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7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90" zoomScalePageLayoutView="0" workbookViewId="0" topLeftCell="A1">
      <selection activeCell="G24" sqref="G24"/>
    </sheetView>
  </sheetViews>
  <sheetFormatPr defaultColWidth="9.140625" defaultRowHeight="12.75"/>
  <sheetData>
    <row r="2" ht="12.75">
      <c r="B2" s="15"/>
    </row>
    <row r="4" spans="2:8" ht="12.75" customHeight="1">
      <c r="B4" s="1011" t="s">
        <v>720</v>
      </c>
      <c r="C4" s="1011"/>
      <c r="D4" s="1011"/>
      <c r="E4" s="1011"/>
      <c r="F4" s="1011"/>
      <c r="G4" s="1011"/>
      <c r="H4" s="1011"/>
    </row>
    <row r="5" spans="2:8" ht="12.75" customHeight="1">
      <c r="B5" s="1011"/>
      <c r="C5" s="1011"/>
      <c r="D5" s="1011"/>
      <c r="E5" s="1011"/>
      <c r="F5" s="1011"/>
      <c r="G5" s="1011"/>
      <c r="H5" s="1011"/>
    </row>
    <row r="6" spans="2:8" ht="12.75" customHeight="1">
      <c r="B6" s="1011"/>
      <c r="C6" s="1011"/>
      <c r="D6" s="1011"/>
      <c r="E6" s="1011"/>
      <c r="F6" s="1011"/>
      <c r="G6" s="1011"/>
      <c r="H6" s="1011"/>
    </row>
    <row r="7" spans="2:8" ht="12.75" customHeight="1">
      <c r="B7" s="1011"/>
      <c r="C7" s="1011"/>
      <c r="D7" s="1011"/>
      <c r="E7" s="1011"/>
      <c r="F7" s="1011"/>
      <c r="G7" s="1011"/>
      <c r="H7" s="1011"/>
    </row>
    <row r="8" spans="2:8" ht="12.75" customHeight="1">
      <c r="B8" s="1011"/>
      <c r="C8" s="1011"/>
      <c r="D8" s="1011"/>
      <c r="E8" s="1011"/>
      <c r="F8" s="1011"/>
      <c r="G8" s="1011"/>
      <c r="H8" s="1011"/>
    </row>
    <row r="9" spans="2:8" ht="12.75" customHeight="1">
      <c r="B9" s="1011"/>
      <c r="C9" s="1011"/>
      <c r="D9" s="1011"/>
      <c r="E9" s="1011"/>
      <c r="F9" s="1011"/>
      <c r="G9" s="1011"/>
      <c r="H9" s="1011"/>
    </row>
    <row r="10" spans="2:8" ht="12.75" customHeight="1">
      <c r="B10" s="1011"/>
      <c r="C10" s="1011"/>
      <c r="D10" s="1011"/>
      <c r="E10" s="1011"/>
      <c r="F10" s="1011"/>
      <c r="G10" s="1011"/>
      <c r="H10" s="1011"/>
    </row>
    <row r="11" spans="2:8" ht="12.75" customHeight="1">
      <c r="B11" s="1011"/>
      <c r="C11" s="1011"/>
      <c r="D11" s="1011"/>
      <c r="E11" s="1011"/>
      <c r="F11" s="1011"/>
      <c r="G11" s="1011"/>
      <c r="H11" s="1011"/>
    </row>
    <row r="12" spans="2:8" ht="12.75" customHeight="1">
      <c r="B12" s="1011"/>
      <c r="C12" s="1011"/>
      <c r="D12" s="1011"/>
      <c r="E12" s="1011"/>
      <c r="F12" s="1011"/>
      <c r="G12" s="1011"/>
      <c r="H12" s="1011"/>
    </row>
    <row r="13" spans="2:8" ht="12.75" customHeight="1">
      <c r="B13" s="1011"/>
      <c r="C13" s="1011"/>
      <c r="D13" s="1011"/>
      <c r="E13" s="1011"/>
      <c r="F13" s="1011"/>
      <c r="G13" s="1011"/>
      <c r="H13" s="1011"/>
    </row>
  </sheetData>
  <sheetProtection/>
  <mergeCells count="1">
    <mergeCell ref="B4:H13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view="pageBreakPreview" zoomScaleNormal="90" zoomScaleSheetLayoutView="100" zoomScalePageLayoutView="0" workbookViewId="0" topLeftCell="A10">
      <selection activeCell="C28" sqref="C28:K30"/>
    </sheetView>
  </sheetViews>
  <sheetFormatPr defaultColWidth="9.140625" defaultRowHeight="12.75"/>
  <cols>
    <col min="1" max="1" width="4.7109375" style="48" customWidth="1"/>
    <col min="2" max="2" width="16.8515625" style="48" customWidth="1"/>
    <col min="3" max="3" width="11.7109375" style="48" customWidth="1"/>
    <col min="4" max="4" width="12.00390625" style="48" customWidth="1"/>
    <col min="5" max="5" width="12.140625" style="48" customWidth="1"/>
    <col min="6" max="6" width="17.421875" style="48" customWidth="1"/>
    <col min="7" max="7" width="12.421875" style="48" customWidth="1"/>
    <col min="8" max="8" width="16.00390625" style="48" customWidth="1"/>
    <col min="9" max="9" width="12.7109375" style="48" customWidth="1"/>
    <col min="10" max="10" width="15.00390625" style="48" customWidth="1"/>
    <col min="11" max="11" width="16.00390625" style="48" customWidth="1"/>
    <col min="12" max="12" width="11.8515625" style="48" customWidth="1"/>
    <col min="13" max="16384" width="9.140625" style="48" customWidth="1"/>
  </cols>
  <sheetData>
    <row r="1" spans="3:11" ht="15" customHeight="1">
      <c r="C1" s="691"/>
      <c r="D1" s="691"/>
      <c r="E1" s="691"/>
      <c r="F1" s="691"/>
      <c r="G1" s="691"/>
      <c r="H1" s="691"/>
      <c r="I1" s="158"/>
      <c r="J1" s="897" t="s">
        <v>551</v>
      </c>
      <c r="K1" s="897"/>
    </row>
    <row r="2" spans="1:11" s="55" customFormat="1" ht="19.5" customHeight="1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  <c r="K2" s="1014"/>
    </row>
    <row r="3" spans="1:11" s="55" customFormat="1" ht="19.5" customHeight="1">
      <c r="A3" s="1013" t="s">
        <v>656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</row>
    <row r="4" spans="1:11" s="55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55" customFormat="1" ht="18" customHeight="1">
      <c r="A5" s="943" t="s">
        <v>721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</row>
    <row r="6" spans="1:11" ht="15.75">
      <c r="A6" s="208" t="s">
        <v>1020</v>
      </c>
      <c r="B6" s="208"/>
      <c r="C6" s="209"/>
      <c r="D6" s="105"/>
      <c r="E6" s="105"/>
      <c r="F6" s="105"/>
      <c r="G6" s="105"/>
      <c r="H6" s="105"/>
      <c r="I6" s="105"/>
      <c r="J6" s="105"/>
      <c r="K6" s="105"/>
    </row>
    <row r="7" spans="1:20" ht="29.25" customHeight="1">
      <c r="A7" s="1016" t="s">
        <v>74</v>
      </c>
      <c r="B7" s="1016" t="s">
        <v>75</v>
      </c>
      <c r="C7" s="1016" t="s">
        <v>76</v>
      </c>
      <c r="D7" s="1016" t="s">
        <v>158</v>
      </c>
      <c r="E7" s="1016"/>
      <c r="F7" s="1016"/>
      <c r="G7" s="1016"/>
      <c r="H7" s="1016"/>
      <c r="I7" s="715" t="s">
        <v>250</v>
      </c>
      <c r="J7" s="1016" t="s">
        <v>77</v>
      </c>
      <c r="K7" s="1016" t="s">
        <v>495</v>
      </c>
      <c r="L7" s="1015" t="s">
        <v>78</v>
      </c>
      <c r="S7" s="54"/>
      <c r="T7" s="54"/>
    </row>
    <row r="8" spans="1:12" ht="33.75" customHeight="1">
      <c r="A8" s="1016"/>
      <c r="B8" s="1016"/>
      <c r="C8" s="1016"/>
      <c r="D8" s="1016" t="s">
        <v>79</v>
      </c>
      <c r="E8" s="1016" t="s">
        <v>80</v>
      </c>
      <c r="F8" s="1016"/>
      <c r="G8" s="1016"/>
      <c r="H8" s="50" t="s">
        <v>81</v>
      </c>
      <c r="I8" s="1012"/>
      <c r="J8" s="1016"/>
      <c r="K8" s="1016"/>
      <c r="L8" s="1015"/>
    </row>
    <row r="9" spans="1:12" ht="30">
      <c r="A9" s="1016"/>
      <c r="B9" s="1016"/>
      <c r="C9" s="1016"/>
      <c r="D9" s="1016"/>
      <c r="E9" s="50" t="s">
        <v>82</v>
      </c>
      <c r="F9" s="50" t="s">
        <v>83</v>
      </c>
      <c r="G9" s="50" t="s">
        <v>19</v>
      </c>
      <c r="H9" s="50"/>
      <c r="I9" s="716"/>
      <c r="J9" s="1016"/>
      <c r="K9" s="1016"/>
      <c r="L9" s="1015"/>
    </row>
    <row r="10" spans="1:12" s="150" customFormat="1" ht="16.5" customHeight="1">
      <c r="A10" s="149">
        <v>1</v>
      </c>
      <c r="B10" s="149">
        <v>2</v>
      </c>
      <c r="C10" s="149">
        <v>3</v>
      </c>
      <c r="D10" s="149">
        <v>4</v>
      </c>
      <c r="E10" s="149">
        <v>5</v>
      </c>
      <c r="F10" s="149">
        <v>6</v>
      </c>
      <c r="G10" s="149">
        <v>7</v>
      </c>
      <c r="H10" s="149">
        <v>8</v>
      </c>
      <c r="I10" s="149">
        <v>9</v>
      </c>
      <c r="J10" s="149">
        <v>10</v>
      </c>
      <c r="K10" s="149">
        <v>11</v>
      </c>
      <c r="L10" s="149">
        <v>12</v>
      </c>
    </row>
    <row r="11" spans="1:12" ht="16.5" customHeight="1">
      <c r="A11" s="57">
        <v>1</v>
      </c>
      <c r="B11" s="58" t="s">
        <v>722</v>
      </c>
      <c r="C11" s="52">
        <v>30</v>
      </c>
      <c r="D11" s="51">
        <v>6</v>
      </c>
      <c r="E11" s="51">
        <v>3</v>
      </c>
      <c r="F11" s="51">
        <v>1</v>
      </c>
      <c r="G11" s="51">
        <v>4</v>
      </c>
      <c r="H11" s="51">
        <v>10</v>
      </c>
      <c r="I11" s="51">
        <v>30</v>
      </c>
      <c r="J11" s="51">
        <v>20</v>
      </c>
      <c r="K11" s="51">
        <v>23</v>
      </c>
      <c r="L11" s="51"/>
    </row>
    <row r="12" spans="1:12" ht="16.5" customHeight="1">
      <c r="A12" s="57">
        <v>2</v>
      </c>
      <c r="B12" s="58" t="s">
        <v>723</v>
      </c>
      <c r="C12" s="52">
        <v>31</v>
      </c>
      <c r="D12" s="51">
        <v>31</v>
      </c>
      <c r="E12" s="51">
        <v>0</v>
      </c>
      <c r="F12" s="51">
        <v>0</v>
      </c>
      <c r="G12" s="51">
        <v>0</v>
      </c>
      <c r="H12" s="51">
        <v>31</v>
      </c>
      <c r="I12" s="51">
        <v>31</v>
      </c>
      <c r="J12" s="51">
        <v>0</v>
      </c>
      <c r="K12" s="51">
        <v>26</v>
      </c>
      <c r="L12" s="51"/>
    </row>
    <row r="13" spans="1:12" ht="16.5" customHeight="1">
      <c r="A13" s="57">
        <v>3</v>
      </c>
      <c r="B13" s="58" t="s">
        <v>724</v>
      </c>
      <c r="C13" s="52">
        <v>30</v>
      </c>
      <c r="D13" s="51">
        <v>14</v>
      </c>
      <c r="E13" s="51">
        <v>2</v>
      </c>
      <c r="F13" s="51">
        <v>1</v>
      </c>
      <c r="G13" s="51">
        <v>3</v>
      </c>
      <c r="H13" s="51">
        <v>17</v>
      </c>
      <c r="I13" s="51">
        <v>30</v>
      </c>
      <c r="J13" s="51">
        <v>13</v>
      </c>
      <c r="K13" s="51">
        <v>25</v>
      </c>
      <c r="L13" s="51"/>
    </row>
    <row r="14" spans="1:12" ht="16.5" customHeight="1">
      <c r="A14" s="57">
        <v>4</v>
      </c>
      <c r="B14" s="58" t="s">
        <v>725</v>
      </c>
      <c r="C14" s="52">
        <v>31</v>
      </c>
      <c r="D14" s="51">
        <v>0</v>
      </c>
      <c r="E14" s="51">
        <v>5</v>
      </c>
      <c r="F14" s="51">
        <v>0</v>
      </c>
      <c r="G14" s="51">
        <v>5</v>
      </c>
      <c r="H14" s="51">
        <v>5</v>
      </c>
      <c r="I14" s="51">
        <v>31</v>
      </c>
      <c r="J14" s="51">
        <v>26</v>
      </c>
      <c r="K14" s="51">
        <v>26</v>
      </c>
      <c r="L14" s="51"/>
    </row>
    <row r="15" spans="1:12" ht="16.5" customHeight="1">
      <c r="A15" s="57">
        <v>5</v>
      </c>
      <c r="B15" s="58" t="s">
        <v>726</v>
      </c>
      <c r="C15" s="52">
        <v>31</v>
      </c>
      <c r="D15" s="51">
        <v>0</v>
      </c>
      <c r="E15" s="51">
        <v>4</v>
      </c>
      <c r="F15" s="51">
        <v>3</v>
      </c>
      <c r="G15" s="51">
        <v>7</v>
      </c>
      <c r="H15" s="51">
        <v>7</v>
      </c>
      <c r="I15" s="51">
        <v>31</v>
      </c>
      <c r="J15" s="51">
        <v>24</v>
      </c>
      <c r="K15" s="51">
        <v>24</v>
      </c>
      <c r="L15" s="51"/>
    </row>
    <row r="16" spans="1:12" s="56" customFormat="1" ht="16.5" customHeight="1">
      <c r="A16" s="57">
        <v>6</v>
      </c>
      <c r="B16" s="58" t="s">
        <v>727</v>
      </c>
      <c r="C16" s="57">
        <v>30</v>
      </c>
      <c r="D16" s="58">
        <v>0</v>
      </c>
      <c r="E16" s="58">
        <v>5</v>
      </c>
      <c r="F16" s="58">
        <v>2</v>
      </c>
      <c r="G16" s="58">
        <v>7</v>
      </c>
      <c r="H16" s="58">
        <v>7</v>
      </c>
      <c r="I16" s="58">
        <v>30</v>
      </c>
      <c r="J16" s="58">
        <v>23</v>
      </c>
      <c r="K16" s="58">
        <v>23</v>
      </c>
      <c r="L16" s="58"/>
    </row>
    <row r="17" spans="1:12" s="56" customFormat="1" ht="16.5" customHeight="1">
      <c r="A17" s="57">
        <v>7</v>
      </c>
      <c r="B17" s="58" t="s">
        <v>728</v>
      </c>
      <c r="C17" s="57">
        <v>31</v>
      </c>
      <c r="D17" s="58">
        <v>0</v>
      </c>
      <c r="E17" s="58">
        <v>4</v>
      </c>
      <c r="F17" s="58">
        <v>2</v>
      </c>
      <c r="G17" s="58">
        <v>6</v>
      </c>
      <c r="H17" s="58">
        <v>6</v>
      </c>
      <c r="I17" s="58">
        <v>31</v>
      </c>
      <c r="J17" s="58">
        <v>25</v>
      </c>
      <c r="K17" s="58">
        <v>25</v>
      </c>
      <c r="L17" s="58"/>
    </row>
    <row r="18" spans="1:12" s="56" customFormat="1" ht="16.5" customHeight="1">
      <c r="A18" s="57">
        <v>8</v>
      </c>
      <c r="B18" s="58" t="s">
        <v>729</v>
      </c>
      <c r="C18" s="57">
        <v>30</v>
      </c>
      <c r="D18" s="58">
        <v>15</v>
      </c>
      <c r="E18" s="58">
        <v>1</v>
      </c>
      <c r="F18" s="58">
        <v>2</v>
      </c>
      <c r="G18" s="58">
        <v>3</v>
      </c>
      <c r="H18" s="58">
        <v>18</v>
      </c>
      <c r="I18" s="58">
        <v>30</v>
      </c>
      <c r="J18" s="58">
        <v>12</v>
      </c>
      <c r="K18" s="58">
        <v>20</v>
      </c>
      <c r="L18" s="58"/>
    </row>
    <row r="19" spans="1:12" s="56" customFormat="1" ht="16.5" customHeight="1">
      <c r="A19" s="57">
        <v>9</v>
      </c>
      <c r="B19" s="58" t="s">
        <v>730</v>
      </c>
      <c r="C19" s="57">
        <v>31</v>
      </c>
      <c r="D19" s="58">
        <v>0</v>
      </c>
      <c r="E19" s="58">
        <v>5</v>
      </c>
      <c r="F19" s="58">
        <v>1</v>
      </c>
      <c r="G19" s="58">
        <v>6</v>
      </c>
      <c r="H19" s="58">
        <v>6</v>
      </c>
      <c r="I19" s="58">
        <v>31</v>
      </c>
      <c r="J19" s="58">
        <v>25</v>
      </c>
      <c r="K19" s="58">
        <v>25</v>
      </c>
      <c r="L19" s="58"/>
    </row>
    <row r="20" spans="1:12" s="56" customFormat="1" ht="16.5" customHeight="1">
      <c r="A20" s="57">
        <v>10</v>
      </c>
      <c r="B20" s="58" t="s">
        <v>731</v>
      </c>
      <c r="C20" s="57">
        <v>31</v>
      </c>
      <c r="D20" s="58">
        <v>0</v>
      </c>
      <c r="E20" s="58">
        <v>4</v>
      </c>
      <c r="F20" s="58">
        <v>1</v>
      </c>
      <c r="G20" s="58">
        <v>5</v>
      </c>
      <c r="H20" s="58">
        <v>5</v>
      </c>
      <c r="I20" s="58">
        <v>31</v>
      </c>
      <c r="J20" s="58">
        <v>26</v>
      </c>
      <c r="K20" s="58">
        <v>26</v>
      </c>
      <c r="L20" s="58"/>
    </row>
    <row r="21" spans="1:12" s="56" customFormat="1" ht="16.5" customHeight="1">
      <c r="A21" s="57">
        <v>11</v>
      </c>
      <c r="B21" s="58" t="s">
        <v>732</v>
      </c>
      <c r="C21" s="57">
        <v>28</v>
      </c>
      <c r="D21" s="58">
        <v>0</v>
      </c>
      <c r="E21" s="58">
        <v>4</v>
      </c>
      <c r="F21" s="58">
        <v>1</v>
      </c>
      <c r="G21" s="58">
        <v>5</v>
      </c>
      <c r="H21" s="58">
        <v>5</v>
      </c>
      <c r="I21" s="58">
        <v>28</v>
      </c>
      <c r="J21" s="58">
        <v>23</v>
      </c>
      <c r="K21" s="58">
        <v>23</v>
      </c>
      <c r="L21" s="58"/>
    </row>
    <row r="22" spans="1:12" s="56" customFormat="1" ht="16.5" customHeight="1">
      <c r="A22" s="57">
        <v>12</v>
      </c>
      <c r="B22" s="58" t="s">
        <v>733</v>
      </c>
      <c r="C22" s="57">
        <v>31</v>
      </c>
      <c r="D22" s="58">
        <v>0</v>
      </c>
      <c r="E22" s="58">
        <v>5</v>
      </c>
      <c r="F22" s="58">
        <v>3</v>
      </c>
      <c r="G22" s="58">
        <v>8</v>
      </c>
      <c r="H22" s="58">
        <v>8</v>
      </c>
      <c r="I22" s="58">
        <v>31</v>
      </c>
      <c r="J22" s="58">
        <v>23</v>
      </c>
      <c r="K22" s="58">
        <v>23</v>
      </c>
      <c r="L22" s="58"/>
    </row>
    <row r="23" spans="1:12" s="56" customFormat="1" ht="16.5" customHeight="1">
      <c r="A23" s="58"/>
      <c r="B23" s="60" t="s">
        <v>19</v>
      </c>
      <c r="C23" s="57">
        <v>365</v>
      </c>
      <c r="D23" s="58">
        <f aca="true" t="shared" si="0" ref="D23:K23">SUM(D11:D22)</f>
        <v>66</v>
      </c>
      <c r="E23" s="58">
        <f t="shared" si="0"/>
        <v>42</v>
      </c>
      <c r="F23" s="58">
        <f t="shared" si="0"/>
        <v>17</v>
      </c>
      <c r="G23" s="58">
        <f t="shared" si="0"/>
        <v>59</v>
      </c>
      <c r="H23" s="58">
        <f t="shared" si="0"/>
        <v>125</v>
      </c>
      <c r="I23" s="58">
        <f t="shared" si="0"/>
        <v>365</v>
      </c>
      <c r="J23" s="58">
        <f t="shared" si="0"/>
        <v>240</v>
      </c>
      <c r="K23" s="58">
        <f t="shared" si="0"/>
        <v>289</v>
      </c>
      <c r="L23" s="58"/>
    </row>
    <row r="24" spans="1:11" s="56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61"/>
    </row>
    <row r="25" spans="1:10" ht="15">
      <c r="A25" s="53" t="s">
        <v>106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1:11" ht="15" customHeight="1">
      <c r="A28" s="53" t="s">
        <v>12</v>
      </c>
      <c r="B28" s="53"/>
      <c r="C28" s="748" t="s">
        <v>1021</v>
      </c>
      <c r="D28" s="748"/>
      <c r="E28" s="748"/>
      <c r="F28" s="748"/>
      <c r="H28" s="748" t="s">
        <v>1024</v>
      </c>
      <c r="I28" s="748"/>
      <c r="J28" s="748"/>
      <c r="K28" s="748"/>
    </row>
    <row r="29" spans="1:11" ht="15" customHeight="1">
      <c r="A29" s="599"/>
      <c r="B29" s="599"/>
      <c r="C29" s="748" t="s">
        <v>1022</v>
      </c>
      <c r="D29" s="748"/>
      <c r="E29" s="748"/>
      <c r="F29" s="748"/>
      <c r="H29" s="748" t="s">
        <v>1025</v>
      </c>
      <c r="I29" s="748"/>
      <c r="J29" s="748"/>
      <c r="K29" s="748"/>
    </row>
    <row r="30" spans="1:11" ht="15">
      <c r="A30" s="599"/>
      <c r="B30" s="599"/>
      <c r="C30" s="735" t="s">
        <v>1023</v>
      </c>
      <c r="D30" s="735"/>
      <c r="E30" s="735"/>
      <c r="F30" s="735"/>
      <c r="H30" s="735" t="s">
        <v>1023</v>
      </c>
      <c r="I30" s="735"/>
      <c r="J30" s="735"/>
      <c r="K30" s="735"/>
    </row>
    <row r="31" spans="1:11" ht="15">
      <c r="A31" s="53"/>
      <c r="B31" s="53"/>
      <c r="C31" s="53"/>
      <c r="D31"/>
      <c r="E31"/>
      <c r="F31"/>
      <c r="G31"/>
      <c r="H31"/>
      <c r="I31"/>
      <c r="J31" s="53"/>
      <c r="K31" s="53"/>
    </row>
  </sheetData>
  <sheetProtection/>
  <mergeCells count="21">
    <mergeCell ref="E8:G8"/>
    <mergeCell ref="H28:K28"/>
    <mergeCell ref="L7:L9"/>
    <mergeCell ref="A5:K5"/>
    <mergeCell ref="A7:A9"/>
    <mergeCell ref="B7:B9"/>
    <mergeCell ref="C7:C9"/>
    <mergeCell ref="D7:H7"/>
    <mergeCell ref="J7:J9"/>
    <mergeCell ref="K7:K9"/>
    <mergeCell ref="D8:D9"/>
    <mergeCell ref="C29:F29"/>
    <mergeCell ref="H29:K29"/>
    <mergeCell ref="C30:F30"/>
    <mergeCell ref="H30:K30"/>
    <mergeCell ref="I7:I9"/>
    <mergeCell ref="C1:H1"/>
    <mergeCell ref="J1:K1"/>
    <mergeCell ref="A3:K3"/>
    <mergeCell ref="A2:K2"/>
    <mergeCell ref="C28:F28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84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view="pageBreakPreview" zoomScaleSheetLayoutView="100" zoomScalePageLayoutView="0" workbookViewId="0" topLeftCell="A13">
      <selection activeCell="C28" sqref="C28:K30"/>
    </sheetView>
  </sheetViews>
  <sheetFormatPr defaultColWidth="9.140625" defaultRowHeight="12.75"/>
  <cols>
    <col min="1" max="1" width="4.7109375" style="48" customWidth="1"/>
    <col min="2" max="2" width="14.7109375" style="48" customWidth="1"/>
    <col min="3" max="3" width="11.7109375" style="48" customWidth="1"/>
    <col min="4" max="4" width="12.00390625" style="48" customWidth="1"/>
    <col min="5" max="5" width="11.8515625" style="48" customWidth="1"/>
    <col min="6" max="6" width="18.8515625" style="48" customWidth="1"/>
    <col min="7" max="7" width="10.140625" style="48" customWidth="1"/>
    <col min="8" max="8" width="14.7109375" style="48" customWidth="1"/>
    <col min="9" max="9" width="15.28125" style="48" customWidth="1"/>
    <col min="10" max="10" width="14.7109375" style="48" customWidth="1"/>
    <col min="11" max="11" width="11.8515625" style="48" customWidth="1"/>
    <col min="12" max="16384" width="9.140625" style="48" customWidth="1"/>
  </cols>
  <sheetData>
    <row r="1" spans="3:10" ht="15" customHeight="1">
      <c r="C1" s="691"/>
      <c r="D1" s="691"/>
      <c r="E1" s="691"/>
      <c r="F1" s="691"/>
      <c r="G1" s="691"/>
      <c r="H1" s="691"/>
      <c r="I1" s="158"/>
      <c r="J1" s="41" t="s">
        <v>552</v>
      </c>
    </row>
    <row r="2" spans="1:10" s="55" customFormat="1" ht="19.5" customHeight="1">
      <c r="A2" s="1014" t="s">
        <v>0</v>
      </c>
      <c r="B2" s="1014"/>
      <c r="C2" s="1014"/>
      <c r="D2" s="1014"/>
      <c r="E2" s="1014"/>
      <c r="F2" s="1014"/>
      <c r="G2" s="1014"/>
      <c r="H2" s="1014"/>
      <c r="I2" s="1014"/>
      <c r="J2" s="1014"/>
    </row>
    <row r="3" spans="1:10" s="55" customFormat="1" ht="19.5" customHeight="1">
      <c r="A3" s="1013" t="s">
        <v>656</v>
      </c>
      <c r="B3" s="1013"/>
      <c r="C3" s="1013"/>
      <c r="D3" s="1013"/>
      <c r="E3" s="1013"/>
      <c r="F3" s="1013"/>
      <c r="G3" s="1013"/>
      <c r="H3" s="1013"/>
      <c r="I3" s="1013"/>
      <c r="J3" s="1013"/>
    </row>
    <row r="4" spans="1:10" s="55" customFormat="1" ht="14.25" customHeight="1">
      <c r="A4" s="64"/>
      <c r="B4" s="64"/>
      <c r="C4" s="64"/>
      <c r="D4" s="64"/>
      <c r="E4" s="64"/>
      <c r="F4" s="64"/>
      <c r="G4" s="64"/>
      <c r="H4" s="64"/>
      <c r="I4" s="64"/>
      <c r="J4" s="64"/>
    </row>
    <row r="5" spans="1:10" s="55" customFormat="1" ht="18" customHeight="1">
      <c r="A5" s="943" t="s">
        <v>734</v>
      </c>
      <c r="B5" s="943"/>
      <c r="C5" s="943"/>
      <c r="D5" s="943"/>
      <c r="E5" s="943"/>
      <c r="F5" s="943"/>
      <c r="G5" s="943"/>
      <c r="H5" s="943"/>
      <c r="I5" s="943"/>
      <c r="J5" s="943"/>
    </row>
    <row r="6" spans="1:10" ht="15.75">
      <c r="A6" s="208" t="s">
        <v>1020</v>
      </c>
      <c r="B6" s="208"/>
      <c r="C6" s="209"/>
      <c r="D6" s="132"/>
      <c r="E6" s="132"/>
      <c r="F6" s="132"/>
      <c r="G6" s="132"/>
      <c r="H6" s="132"/>
      <c r="I6" s="156"/>
      <c r="J6" s="156"/>
    </row>
    <row r="7" spans="1:11" ht="29.25" customHeight="1">
      <c r="A7" s="1016" t="s">
        <v>74</v>
      </c>
      <c r="B7" s="1016" t="s">
        <v>75</v>
      </c>
      <c r="C7" s="1016" t="s">
        <v>76</v>
      </c>
      <c r="D7" s="1016" t="s">
        <v>159</v>
      </c>
      <c r="E7" s="1016"/>
      <c r="F7" s="1016"/>
      <c r="G7" s="1016"/>
      <c r="H7" s="1016"/>
      <c r="I7" s="715" t="s">
        <v>250</v>
      </c>
      <c r="J7" s="1016" t="s">
        <v>77</v>
      </c>
      <c r="K7" s="1016" t="s">
        <v>231</v>
      </c>
    </row>
    <row r="8" spans="1:19" ht="33.75" customHeight="1">
      <c r="A8" s="1016"/>
      <c r="B8" s="1016"/>
      <c r="C8" s="1016"/>
      <c r="D8" s="1016" t="s">
        <v>79</v>
      </c>
      <c r="E8" s="1016" t="s">
        <v>80</v>
      </c>
      <c r="F8" s="1016"/>
      <c r="G8" s="1016"/>
      <c r="H8" s="715" t="s">
        <v>81</v>
      </c>
      <c r="I8" s="1012"/>
      <c r="J8" s="1016"/>
      <c r="K8" s="1016"/>
      <c r="R8" s="54"/>
      <c r="S8" s="54"/>
    </row>
    <row r="9" spans="1:11" ht="33.75" customHeight="1">
      <c r="A9" s="1016"/>
      <c r="B9" s="1016"/>
      <c r="C9" s="1016"/>
      <c r="D9" s="1016"/>
      <c r="E9" s="50" t="s">
        <v>82</v>
      </c>
      <c r="F9" s="50" t="s">
        <v>83</v>
      </c>
      <c r="G9" s="50" t="s">
        <v>19</v>
      </c>
      <c r="H9" s="716"/>
      <c r="I9" s="716"/>
      <c r="J9" s="1016"/>
      <c r="K9" s="1016"/>
    </row>
    <row r="10" spans="1:11" s="56" customFormat="1" ht="16.5" customHeight="1">
      <c r="A10" s="50">
        <v>1</v>
      </c>
      <c r="B10" s="50">
        <v>2</v>
      </c>
      <c r="C10" s="50">
        <v>3</v>
      </c>
      <c r="D10" s="50">
        <v>4</v>
      </c>
      <c r="E10" s="50">
        <v>5</v>
      </c>
      <c r="F10" s="50">
        <v>6</v>
      </c>
      <c r="G10" s="50">
        <v>7</v>
      </c>
      <c r="H10" s="50">
        <v>8</v>
      </c>
      <c r="I10" s="50">
        <v>9</v>
      </c>
      <c r="J10" s="50">
        <v>10</v>
      </c>
      <c r="K10" s="50">
        <v>11</v>
      </c>
    </row>
    <row r="11" spans="1:11" ht="16.5" customHeight="1">
      <c r="A11" s="57">
        <v>1</v>
      </c>
      <c r="B11" s="58" t="s">
        <v>722</v>
      </c>
      <c r="C11" s="52">
        <v>30</v>
      </c>
      <c r="D11" s="51">
        <v>6</v>
      </c>
      <c r="E11" s="51">
        <v>3</v>
      </c>
      <c r="F11" s="51">
        <v>1</v>
      </c>
      <c r="G11" s="51">
        <v>4</v>
      </c>
      <c r="H11" s="51">
        <v>10</v>
      </c>
      <c r="I11" s="51">
        <v>30</v>
      </c>
      <c r="J11" s="51">
        <v>20</v>
      </c>
      <c r="K11" s="51"/>
    </row>
    <row r="12" spans="1:11" ht="16.5" customHeight="1">
      <c r="A12" s="57">
        <v>2</v>
      </c>
      <c r="B12" s="58" t="s">
        <v>723</v>
      </c>
      <c r="C12" s="52">
        <v>31</v>
      </c>
      <c r="D12" s="51">
        <v>31</v>
      </c>
      <c r="E12" s="51">
        <v>0</v>
      </c>
      <c r="F12" s="51">
        <v>0</v>
      </c>
      <c r="G12" s="51">
        <v>0</v>
      </c>
      <c r="H12" s="51">
        <v>31</v>
      </c>
      <c r="I12" s="51">
        <v>31</v>
      </c>
      <c r="J12" s="51">
        <v>0</v>
      </c>
      <c r="K12" s="51"/>
    </row>
    <row r="13" spans="1:11" ht="16.5" customHeight="1">
      <c r="A13" s="57">
        <v>3</v>
      </c>
      <c r="B13" s="58" t="s">
        <v>724</v>
      </c>
      <c r="C13" s="52">
        <v>30</v>
      </c>
      <c r="D13" s="51">
        <v>14</v>
      </c>
      <c r="E13" s="51">
        <v>2</v>
      </c>
      <c r="F13" s="51">
        <v>1</v>
      </c>
      <c r="G13" s="51">
        <v>3</v>
      </c>
      <c r="H13" s="51">
        <v>17</v>
      </c>
      <c r="I13" s="51">
        <v>30</v>
      </c>
      <c r="J13" s="51">
        <v>13</v>
      </c>
      <c r="K13" s="51"/>
    </row>
    <row r="14" spans="1:11" ht="16.5" customHeight="1">
      <c r="A14" s="57">
        <v>4</v>
      </c>
      <c r="B14" s="58" t="s">
        <v>725</v>
      </c>
      <c r="C14" s="52">
        <v>31</v>
      </c>
      <c r="D14" s="51">
        <v>0</v>
      </c>
      <c r="E14" s="51">
        <v>5</v>
      </c>
      <c r="F14" s="51">
        <v>0</v>
      </c>
      <c r="G14" s="51">
        <v>5</v>
      </c>
      <c r="H14" s="51">
        <v>5</v>
      </c>
      <c r="I14" s="51">
        <v>31</v>
      </c>
      <c r="J14" s="51">
        <v>26</v>
      </c>
      <c r="K14" s="51"/>
    </row>
    <row r="15" spans="1:11" ht="16.5" customHeight="1">
      <c r="A15" s="57">
        <v>5</v>
      </c>
      <c r="B15" s="58" t="s">
        <v>726</v>
      </c>
      <c r="C15" s="52">
        <v>31</v>
      </c>
      <c r="D15" s="51">
        <v>0</v>
      </c>
      <c r="E15" s="51">
        <v>4</v>
      </c>
      <c r="F15" s="51">
        <v>3</v>
      </c>
      <c r="G15" s="51">
        <v>7</v>
      </c>
      <c r="H15" s="51">
        <v>7</v>
      </c>
      <c r="I15" s="51">
        <v>31</v>
      </c>
      <c r="J15" s="51">
        <v>24</v>
      </c>
      <c r="K15" s="51"/>
    </row>
    <row r="16" spans="1:11" s="56" customFormat="1" ht="16.5" customHeight="1">
      <c r="A16" s="57">
        <v>6</v>
      </c>
      <c r="B16" s="58" t="s">
        <v>727</v>
      </c>
      <c r="C16" s="57">
        <v>30</v>
      </c>
      <c r="D16" s="58">
        <v>0</v>
      </c>
      <c r="E16" s="58">
        <v>5</v>
      </c>
      <c r="F16" s="58">
        <v>2</v>
      </c>
      <c r="G16" s="58">
        <v>7</v>
      </c>
      <c r="H16" s="58">
        <v>7</v>
      </c>
      <c r="I16" s="58">
        <v>30</v>
      </c>
      <c r="J16" s="58">
        <v>23</v>
      </c>
      <c r="K16" s="58"/>
    </row>
    <row r="17" spans="1:11" s="56" customFormat="1" ht="16.5" customHeight="1">
      <c r="A17" s="57">
        <v>7</v>
      </c>
      <c r="B17" s="58" t="s">
        <v>728</v>
      </c>
      <c r="C17" s="57">
        <v>31</v>
      </c>
      <c r="D17" s="58">
        <v>0</v>
      </c>
      <c r="E17" s="58">
        <v>4</v>
      </c>
      <c r="F17" s="58">
        <v>2</v>
      </c>
      <c r="G17" s="58">
        <v>6</v>
      </c>
      <c r="H17" s="58">
        <v>6</v>
      </c>
      <c r="I17" s="58">
        <v>31</v>
      </c>
      <c r="J17" s="58">
        <v>25</v>
      </c>
      <c r="K17" s="58"/>
    </row>
    <row r="18" spans="1:11" s="56" customFormat="1" ht="16.5" customHeight="1">
      <c r="A18" s="57">
        <v>8</v>
      </c>
      <c r="B18" s="58" t="s">
        <v>729</v>
      </c>
      <c r="C18" s="57">
        <v>30</v>
      </c>
      <c r="D18" s="58">
        <v>15</v>
      </c>
      <c r="E18" s="58">
        <v>1</v>
      </c>
      <c r="F18" s="58">
        <v>2</v>
      </c>
      <c r="G18" s="58">
        <v>3</v>
      </c>
      <c r="H18" s="58">
        <v>18</v>
      </c>
      <c r="I18" s="58">
        <v>30</v>
      </c>
      <c r="J18" s="58">
        <v>12</v>
      </c>
      <c r="K18" s="58"/>
    </row>
    <row r="19" spans="1:11" s="56" customFormat="1" ht="16.5" customHeight="1">
      <c r="A19" s="57">
        <v>9</v>
      </c>
      <c r="B19" s="58" t="s">
        <v>730</v>
      </c>
      <c r="C19" s="57">
        <v>31</v>
      </c>
      <c r="D19" s="58">
        <v>0</v>
      </c>
      <c r="E19" s="58">
        <v>5</v>
      </c>
      <c r="F19" s="58">
        <v>1</v>
      </c>
      <c r="G19" s="58">
        <v>6</v>
      </c>
      <c r="H19" s="58">
        <v>6</v>
      </c>
      <c r="I19" s="58">
        <v>31</v>
      </c>
      <c r="J19" s="58">
        <v>25</v>
      </c>
      <c r="K19" s="58"/>
    </row>
    <row r="20" spans="1:11" s="56" customFormat="1" ht="16.5" customHeight="1">
      <c r="A20" s="57">
        <v>10</v>
      </c>
      <c r="B20" s="58" t="s">
        <v>731</v>
      </c>
      <c r="C20" s="57">
        <v>31</v>
      </c>
      <c r="D20" s="58">
        <v>0</v>
      </c>
      <c r="E20" s="58">
        <v>4</v>
      </c>
      <c r="F20" s="58">
        <v>1</v>
      </c>
      <c r="G20" s="58">
        <v>5</v>
      </c>
      <c r="H20" s="58">
        <v>5</v>
      </c>
      <c r="I20" s="58">
        <v>31</v>
      </c>
      <c r="J20" s="58">
        <v>26</v>
      </c>
      <c r="K20" s="58"/>
    </row>
    <row r="21" spans="1:11" s="56" customFormat="1" ht="16.5" customHeight="1">
      <c r="A21" s="57">
        <v>11</v>
      </c>
      <c r="B21" s="58" t="s">
        <v>732</v>
      </c>
      <c r="C21" s="57">
        <v>28</v>
      </c>
      <c r="D21" s="59">
        <v>0</v>
      </c>
      <c r="E21" s="59">
        <v>4</v>
      </c>
      <c r="F21" s="59">
        <v>1</v>
      </c>
      <c r="G21" s="59">
        <v>5</v>
      </c>
      <c r="H21" s="59">
        <v>5</v>
      </c>
      <c r="I21" s="59">
        <v>28</v>
      </c>
      <c r="J21" s="59">
        <v>23</v>
      </c>
      <c r="K21" s="58"/>
    </row>
    <row r="22" spans="1:11" s="56" customFormat="1" ht="16.5" customHeight="1">
      <c r="A22" s="57">
        <v>12</v>
      </c>
      <c r="B22" s="58" t="s">
        <v>733</v>
      </c>
      <c r="C22" s="57">
        <v>31</v>
      </c>
      <c r="D22" s="59">
        <v>0</v>
      </c>
      <c r="E22" s="59">
        <v>5</v>
      </c>
      <c r="F22" s="59">
        <v>3</v>
      </c>
      <c r="G22" s="59">
        <v>8</v>
      </c>
      <c r="H22" s="59">
        <v>8</v>
      </c>
      <c r="I22" s="59">
        <v>31</v>
      </c>
      <c r="J22" s="59">
        <v>23</v>
      </c>
      <c r="K22" s="58"/>
    </row>
    <row r="23" spans="1:11" s="56" customFormat="1" ht="16.5" customHeight="1">
      <c r="A23" s="58"/>
      <c r="B23" s="60" t="s">
        <v>19</v>
      </c>
      <c r="C23" s="57">
        <v>365</v>
      </c>
      <c r="D23" s="58">
        <f aca="true" t="shared" si="0" ref="D23:J23">SUM(D11:D22)</f>
        <v>66</v>
      </c>
      <c r="E23" s="58">
        <f t="shared" si="0"/>
        <v>42</v>
      </c>
      <c r="F23" s="58">
        <f t="shared" si="0"/>
        <v>17</v>
      </c>
      <c r="G23" s="58">
        <f t="shared" si="0"/>
        <v>59</v>
      </c>
      <c r="H23" s="58">
        <f t="shared" si="0"/>
        <v>125</v>
      </c>
      <c r="I23" s="58">
        <f t="shared" si="0"/>
        <v>365</v>
      </c>
      <c r="J23" s="58">
        <f t="shared" si="0"/>
        <v>240</v>
      </c>
      <c r="K23" s="58"/>
    </row>
    <row r="24" spans="1:11" s="56" customFormat="1" ht="11.25" customHeight="1">
      <c r="A24" s="61"/>
      <c r="B24" s="62"/>
      <c r="C24" s="63"/>
      <c r="D24" s="61"/>
      <c r="E24" s="61"/>
      <c r="F24" s="61"/>
      <c r="G24" s="61"/>
      <c r="H24" s="61"/>
      <c r="I24" s="61"/>
      <c r="J24" s="61"/>
      <c r="K24" s="58"/>
    </row>
    <row r="25" spans="1:10" ht="15">
      <c r="A25" s="53" t="s">
        <v>106</v>
      </c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5">
      <c r="A26" s="53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5">
      <c r="A27" s="53"/>
      <c r="B27" s="53"/>
      <c r="C27" s="53"/>
      <c r="D27" s="53"/>
      <c r="E27" s="53"/>
      <c r="F27" s="53"/>
      <c r="G27" s="53"/>
      <c r="H27" s="53"/>
      <c r="I27" s="53"/>
      <c r="J27" s="53"/>
    </row>
    <row r="28" spans="3:11" ht="14.25" customHeight="1">
      <c r="C28" s="748" t="s">
        <v>1021</v>
      </c>
      <c r="D28" s="748"/>
      <c r="E28" s="748"/>
      <c r="F28" s="748"/>
      <c r="H28" s="748" t="s">
        <v>1024</v>
      </c>
      <c r="I28" s="748"/>
      <c r="J28" s="748"/>
      <c r="K28" s="748"/>
    </row>
    <row r="29" spans="1:11" ht="15" customHeight="1">
      <c r="A29" s="53" t="s">
        <v>12</v>
      </c>
      <c r="B29" s="53"/>
      <c r="C29" s="748" t="s">
        <v>1022</v>
      </c>
      <c r="D29" s="748"/>
      <c r="E29" s="748"/>
      <c r="F29" s="748"/>
      <c r="H29" s="748" t="s">
        <v>1025</v>
      </c>
      <c r="I29" s="748"/>
      <c r="J29" s="748"/>
      <c r="K29" s="748"/>
    </row>
    <row r="30" spans="1:11" ht="15">
      <c r="A30" s="599"/>
      <c r="B30" s="599"/>
      <c r="C30" s="735" t="s">
        <v>1023</v>
      </c>
      <c r="D30" s="735"/>
      <c r="E30" s="735"/>
      <c r="F30" s="735"/>
      <c r="H30" s="735" t="s">
        <v>1023</v>
      </c>
      <c r="I30" s="735"/>
      <c r="J30" s="735"/>
      <c r="K30" s="735"/>
    </row>
    <row r="31" spans="1:10" ht="15">
      <c r="A31" s="599"/>
      <c r="B31" s="599"/>
      <c r="C31"/>
      <c r="D31"/>
      <c r="E31"/>
      <c r="F31"/>
      <c r="G31"/>
      <c r="H31"/>
      <c r="I31" s="599"/>
      <c r="J31" s="599"/>
    </row>
    <row r="32" spans="1:10" ht="15">
      <c r="A32" s="53"/>
      <c r="B32" s="53"/>
      <c r="C32" s="53"/>
      <c r="D32" s="53"/>
      <c r="E32" s="53"/>
      <c r="F32" s="53"/>
      <c r="G32" s="53"/>
      <c r="H32" s="53"/>
      <c r="I32" s="53"/>
      <c r="J32" s="53"/>
    </row>
  </sheetData>
  <sheetProtection/>
  <mergeCells count="20">
    <mergeCell ref="E8:G8"/>
    <mergeCell ref="I7:I9"/>
    <mergeCell ref="K7:K9"/>
    <mergeCell ref="H8:H9"/>
    <mergeCell ref="C1:H1"/>
    <mergeCell ref="A2:J2"/>
    <mergeCell ref="A3:J3"/>
    <mergeCell ref="A5:J5"/>
    <mergeCell ref="A7:A9"/>
    <mergeCell ref="B7:B9"/>
    <mergeCell ref="C7:C9"/>
    <mergeCell ref="D7:H7"/>
    <mergeCell ref="J7:J9"/>
    <mergeCell ref="D8:D9"/>
    <mergeCell ref="H28:K28"/>
    <mergeCell ref="H29:K29"/>
    <mergeCell ref="H30:K30"/>
    <mergeCell ref="C28:F28"/>
    <mergeCell ref="C29:F29"/>
    <mergeCell ref="C30:F30"/>
  </mergeCells>
  <printOptions horizontalCentered="1"/>
  <pageMargins left="0.7086614173228347" right="0.7086614173228347" top="0.2362204724409449" bottom="0" header="0.27" footer="0.31496062992125984"/>
  <pageSetup fitToHeight="1" fitToWidth="1" horizontalDpi="600" verticalDpi="600" orientation="landscape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view="pageBreakPreview" zoomScaleNormal="70" zoomScaleSheetLayoutView="100" zoomScalePageLayoutView="0" workbookViewId="0" topLeftCell="A1">
      <pane xSplit="2" ySplit="10" topLeftCell="C4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52" sqref="D52:O54"/>
    </sheetView>
  </sheetViews>
  <sheetFormatPr defaultColWidth="9.140625" defaultRowHeight="12.75"/>
  <cols>
    <col min="1" max="1" width="5.57421875" style="271" customWidth="1"/>
    <col min="2" max="2" width="15.421875" style="271" customWidth="1"/>
    <col min="3" max="3" width="11.7109375" style="271" customWidth="1"/>
    <col min="4" max="4" width="12.28125" style="271" customWidth="1"/>
    <col min="5" max="5" width="11.140625" style="271" customWidth="1"/>
    <col min="6" max="6" width="9.8515625" style="271" customWidth="1"/>
    <col min="7" max="7" width="10.8515625" style="271" customWidth="1"/>
    <col min="8" max="8" width="12.8515625" style="271" customWidth="1"/>
    <col min="9" max="9" width="13.57421875" style="253" customWidth="1"/>
    <col min="10" max="11" width="9.57421875" style="253" customWidth="1"/>
    <col min="12" max="13" width="8.140625" style="253" customWidth="1"/>
    <col min="14" max="14" width="10.57421875" style="253" customWidth="1"/>
    <col min="15" max="15" width="10.8515625" style="253" customWidth="1"/>
    <col min="16" max="16" width="10.421875" style="253" customWidth="1"/>
    <col min="17" max="17" width="11.00390625" style="253" customWidth="1"/>
    <col min="18" max="18" width="11.8515625" style="253" customWidth="1"/>
    <col min="19" max="16384" width="9.140625" style="253" customWidth="1"/>
  </cols>
  <sheetData>
    <row r="1" spans="1:18" ht="12.75" customHeight="1">
      <c r="A1" s="437"/>
      <c r="B1" s="437"/>
      <c r="C1" s="437"/>
      <c r="D1" s="437"/>
      <c r="E1" s="437"/>
      <c r="F1" s="437"/>
      <c r="G1" s="1018"/>
      <c r="H1" s="1018"/>
      <c r="I1" s="1018"/>
      <c r="J1" s="437"/>
      <c r="K1" s="437"/>
      <c r="L1" s="437"/>
      <c r="M1" s="437"/>
      <c r="N1" s="437"/>
      <c r="O1" s="437"/>
      <c r="P1" s="437"/>
      <c r="Q1" s="1020" t="s">
        <v>553</v>
      </c>
      <c r="R1" s="1020"/>
    </row>
    <row r="2" spans="1:18" ht="16.5">
      <c r="A2" s="1018" t="s">
        <v>0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</row>
    <row r="3" spans="1:18" ht="16.5">
      <c r="A3" s="1018" t="s">
        <v>656</v>
      </c>
      <c r="B3" s="1018"/>
      <c r="C3" s="1018"/>
      <c r="D3" s="1018"/>
      <c r="E3" s="1018"/>
      <c r="F3" s="1018"/>
      <c r="G3" s="1018"/>
      <c r="H3" s="1018"/>
      <c r="I3" s="1018"/>
      <c r="J3" s="1018"/>
      <c r="K3" s="1018"/>
      <c r="L3" s="1018"/>
      <c r="M3" s="1018"/>
      <c r="N3" s="1018"/>
      <c r="O3" s="1018"/>
      <c r="P3" s="1018"/>
      <c r="Q3" s="1018"/>
      <c r="R3" s="1018"/>
    </row>
    <row r="4" spans="1:18" ht="12.75" customHeight="1">
      <c r="A4" s="1017" t="s">
        <v>736</v>
      </c>
      <c r="B4" s="1017"/>
      <c r="C4" s="1017"/>
      <c r="D4" s="1017"/>
      <c r="E4" s="1017"/>
      <c r="F4" s="1017"/>
      <c r="G4" s="1017"/>
      <c r="H4" s="1017"/>
      <c r="I4" s="1017"/>
      <c r="J4" s="1017"/>
      <c r="K4" s="1017"/>
      <c r="L4" s="1017"/>
      <c r="M4" s="1017"/>
      <c r="N4" s="1017"/>
      <c r="O4" s="1017"/>
      <c r="P4" s="1017"/>
      <c r="Q4" s="1017"/>
      <c r="R4" s="1017"/>
    </row>
    <row r="5" spans="1:18" s="254" customFormat="1" ht="7.5" customHeight="1">
      <c r="A5" s="1017"/>
      <c r="B5" s="1017"/>
      <c r="C5" s="1017"/>
      <c r="D5" s="1017"/>
      <c r="E5" s="1017"/>
      <c r="F5" s="1017"/>
      <c r="G5" s="1017"/>
      <c r="H5" s="1017"/>
      <c r="I5" s="1017"/>
      <c r="J5" s="1017"/>
      <c r="K5" s="1017"/>
      <c r="L5" s="1017"/>
      <c r="M5" s="1017"/>
      <c r="N5" s="1017"/>
      <c r="O5" s="1017"/>
      <c r="P5" s="1017"/>
      <c r="Q5" s="1017"/>
      <c r="R5" s="1017"/>
    </row>
    <row r="6" spans="1:18" ht="16.5">
      <c r="A6" s="1019"/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1019"/>
    </row>
    <row r="7" spans="1:18" ht="16.5">
      <c r="A7" s="208" t="s">
        <v>1020</v>
      </c>
      <c r="B7" s="208"/>
      <c r="C7" s="209"/>
      <c r="D7" s="437"/>
      <c r="E7" s="437"/>
      <c r="F7" s="437"/>
      <c r="G7" s="437"/>
      <c r="H7" s="438"/>
      <c r="I7" s="437"/>
      <c r="J7" s="437"/>
      <c r="K7" s="437"/>
      <c r="L7" s="1022"/>
      <c r="M7" s="1022"/>
      <c r="N7" s="1022"/>
      <c r="O7" s="1022"/>
      <c r="P7" s="1022"/>
      <c r="Q7" s="1022"/>
      <c r="R7" s="1022"/>
    </row>
    <row r="8" spans="1:18" ht="47.25" customHeight="1">
      <c r="A8" s="1023" t="s">
        <v>2</v>
      </c>
      <c r="B8" s="1023" t="s">
        <v>3</v>
      </c>
      <c r="C8" s="1024" t="s">
        <v>505</v>
      </c>
      <c r="D8" s="1025"/>
      <c r="E8" s="1025"/>
      <c r="F8" s="1025"/>
      <c r="G8" s="1026"/>
      <c r="H8" s="1027" t="s">
        <v>85</v>
      </c>
      <c r="I8" s="1024" t="s">
        <v>86</v>
      </c>
      <c r="J8" s="1025"/>
      <c r="K8" s="1025"/>
      <c r="L8" s="1026"/>
      <c r="M8" s="1024" t="s">
        <v>735</v>
      </c>
      <c r="N8" s="1025"/>
      <c r="O8" s="1025"/>
      <c r="P8" s="1025"/>
      <c r="Q8" s="1025"/>
      <c r="R8" s="1025"/>
    </row>
    <row r="9" spans="1:18" ht="51" customHeight="1">
      <c r="A9" s="1023"/>
      <c r="B9" s="1023"/>
      <c r="C9" s="439" t="s">
        <v>5</v>
      </c>
      <c r="D9" s="439" t="s">
        <v>6</v>
      </c>
      <c r="E9" s="439" t="s">
        <v>369</v>
      </c>
      <c r="F9" s="440" t="s">
        <v>100</v>
      </c>
      <c r="G9" s="440" t="s">
        <v>232</v>
      </c>
      <c r="H9" s="1028"/>
      <c r="I9" s="439" t="s">
        <v>90</v>
      </c>
      <c r="J9" s="439" t="s">
        <v>21</v>
      </c>
      <c r="K9" s="439" t="s">
        <v>42</v>
      </c>
      <c r="L9" s="439" t="s">
        <v>836</v>
      </c>
      <c r="M9" s="439" t="s">
        <v>19</v>
      </c>
      <c r="N9" s="439" t="s">
        <v>914</v>
      </c>
      <c r="O9" s="439" t="s">
        <v>915</v>
      </c>
      <c r="P9" s="439" t="s">
        <v>967</v>
      </c>
      <c r="Q9" s="439" t="s">
        <v>966</v>
      </c>
      <c r="R9" s="439" t="s">
        <v>965</v>
      </c>
    </row>
    <row r="10" spans="1:18" s="255" customFormat="1" ht="16.5">
      <c r="A10" s="439">
        <v>1</v>
      </c>
      <c r="B10" s="439">
        <v>2</v>
      </c>
      <c r="C10" s="439">
        <v>3</v>
      </c>
      <c r="D10" s="439">
        <v>4</v>
      </c>
      <c r="E10" s="439">
        <v>5</v>
      </c>
      <c r="F10" s="439">
        <v>6</v>
      </c>
      <c r="G10" s="439">
        <v>7</v>
      </c>
      <c r="H10" s="439">
        <v>8</v>
      </c>
      <c r="I10" s="439">
        <v>9</v>
      </c>
      <c r="J10" s="439">
        <v>10</v>
      </c>
      <c r="K10" s="439">
        <v>11</v>
      </c>
      <c r="L10" s="439">
        <v>12</v>
      </c>
      <c r="M10" s="439">
        <v>13</v>
      </c>
      <c r="N10" s="439">
        <v>14</v>
      </c>
      <c r="O10" s="439">
        <v>15</v>
      </c>
      <c r="P10" s="439">
        <v>16</v>
      </c>
      <c r="Q10" s="439">
        <v>17</v>
      </c>
      <c r="R10" s="439">
        <v>18</v>
      </c>
    </row>
    <row r="11" spans="1:19" ht="16.5">
      <c r="A11" s="441">
        <v>1</v>
      </c>
      <c r="B11" s="373" t="s">
        <v>870</v>
      </c>
      <c r="C11" s="442">
        <f>'enrolment vs availed_PY'!C11</f>
        <v>217688</v>
      </c>
      <c r="D11" s="442">
        <f>'enrolment vs availed_PY'!D11</f>
        <v>94618</v>
      </c>
      <c r="E11" s="442">
        <f>'enrolment vs availed_PY'!E11</f>
        <v>0</v>
      </c>
      <c r="F11" s="442">
        <f>'enrolment vs availed_PY'!F11</f>
        <v>0</v>
      </c>
      <c r="G11" s="442">
        <f>C11+D11+E11+F11</f>
        <v>312306</v>
      </c>
      <c r="H11" s="443">
        <v>240</v>
      </c>
      <c r="I11" s="442">
        <f>G11*H11*0.0001</f>
        <v>7495.344</v>
      </c>
      <c r="J11" s="442">
        <f>G11*H11*0.0001</f>
        <v>7495.344</v>
      </c>
      <c r="K11" s="442"/>
      <c r="L11" s="442"/>
      <c r="M11" s="442">
        <f>N11+O11+P11+Q11+R11</f>
        <v>1499.0688</v>
      </c>
      <c r="N11" s="442">
        <f>G11*70*0.00002</f>
        <v>437.2284</v>
      </c>
      <c r="O11" s="442">
        <f>G11*70*0.00002</f>
        <v>437.2284</v>
      </c>
      <c r="P11" s="442">
        <f>G11*45*0.00002</f>
        <v>281.0754</v>
      </c>
      <c r="Q11" s="442">
        <f>G11*20*0.00002</f>
        <v>124.92240000000001</v>
      </c>
      <c r="R11" s="442">
        <f>G11*35*0.00002</f>
        <v>218.6142</v>
      </c>
      <c r="S11" s="253">
        <f>231-160</f>
        <v>71</v>
      </c>
    </row>
    <row r="12" spans="1:18" ht="16.5">
      <c r="A12" s="441">
        <v>2</v>
      </c>
      <c r="B12" s="373" t="s">
        <v>871</v>
      </c>
      <c r="C12" s="442">
        <f>'enrolment vs availed_PY'!C12</f>
        <v>64873</v>
      </c>
      <c r="D12" s="442">
        <f>'enrolment vs availed_PY'!D12</f>
        <v>30829</v>
      </c>
      <c r="E12" s="442">
        <f>'enrolment vs availed_PY'!E12</f>
        <v>0</v>
      </c>
      <c r="F12" s="442">
        <f>'enrolment vs availed_PY'!F12</f>
        <v>0</v>
      </c>
      <c r="G12" s="442">
        <f>C12+D12+E12+F12</f>
        <v>95702</v>
      </c>
      <c r="H12" s="443">
        <v>240</v>
      </c>
      <c r="I12" s="442">
        <f aca="true" t="shared" si="0" ref="I12:I45">G12*H12*0.0001</f>
        <v>2296.848</v>
      </c>
      <c r="J12" s="442">
        <f aca="true" t="shared" si="1" ref="J12:J45">G12*H12*0.0001</f>
        <v>2296.848</v>
      </c>
      <c r="K12" s="442"/>
      <c r="L12" s="442"/>
      <c r="M12" s="442">
        <f aca="true" t="shared" si="2" ref="M12:M45">N12+O12+P12+Q12+R12</f>
        <v>459.3696</v>
      </c>
      <c r="N12" s="442">
        <f aca="true" t="shared" si="3" ref="N12:N36">G12*70*0.00002</f>
        <v>133.9828</v>
      </c>
      <c r="O12" s="442">
        <f aca="true" t="shared" si="4" ref="O12:O36">G12*70*0.00002</f>
        <v>133.9828</v>
      </c>
      <c r="P12" s="442">
        <f aca="true" t="shared" si="5" ref="P12:P36">G12*45*0.00002</f>
        <v>86.13180000000001</v>
      </c>
      <c r="Q12" s="442">
        <f aca="true" t="shared" si="6" ref="Q12:Q45">G12*20*0.00002</f>
        <v>38.280800000000006</v>
      </c>
      <c r="R12" s="442">
        <f aca="true" t="shared" si="7" ref="R12:R45">G12*35*0.00002</f>
        <v>66.9914</v>
      </c>
    </row>
    <row r="13" spans="1:18" ht="16.5">
      <c r="A13" s="441">
        <v>3</v>
      </c>
      <c r="B13" s="373" t="s">
        <v>872</v>
      </c>
      <c r="C13" s="442">
        <f>'enrolment vs availed_PY'!C13</f>
        <v>109113</v>
      </c>
      <c r="D13" s="442">
        <f>'enrolment vs availed_PY'!D13</f>
        <v>49184</v>
      </c>
      <c r="E13" s="442">
        <f>'enrolment vs availed_PY'!E13</f>
        <v>0</v>
      </c>
      <c r="F13" s="442">
        <f>'enrolment vs availed_PY'!F13</f>
        <v>0</v>
      </c>
      <c r="G13" s="442">
        <f>C13+D13+E13+F13</f>
        <v>158297</v>
      </c>
      <c r="H13" s="443">
        <v>240</v>
      </c>
      <c r="I13" s="442">
        <f t="shared" si="0"/>
        <v>3799.128</v>
      </c>
      <c r="J13" s="442">
        <f t="shared" si="1"/>
        <v>3799.128</v>
      </c>
      <c r="K13" s="442">
        <v>0</v>
      </c>
      <c r="L13" s="442">
        <v>0</v>
      </c>
      <c r="M13" s="442">
        <f t="shared" si="2"/>
        <v>759.8256000000001</v>
      </c>
      <c r="N13" s="442">
        <f t="shared" si="3"/>
        <v>221.6158</v>
      </c>
      <c r="O13" s="442">
        <f t="shared" si="4"/>
        <v>221.6158</v>
      </c>
      <c r="P13" s="442">
        <f t="shared" si="5"/>
        <v>142.46730000000002</v>
      </c>
      <c r="Q13" s="442">
        <f t="shared" si="6"/>
        <v>63.3188</v>
      </c>
      <c r="R13" s="442">
        <f t="shared" si="7"/>
        <v>110.8079</v>
      </c>
    </row>
    <row r="14" spans="1:18" ht="16.5">
      <c r="A14" s="441">
        <v>4</v>
      </c>
      <c r="B14" s="373" t="s">
        <v>873</v>
      </c>
      <c r="C14" s="442">
        <f>'enrolment vs availed_PY'!C14</f>
        <v>169652</v>
      </c>
      <c r="D14" s="442">
        <f>'enrolment vs availed_PY'!D14</f>
        <v>131791</v>
      </c>
      <c r="E14" s="442">
        <f>'enrolment vs availed_PY'!E14</f>
        <v>0</v>
      </c>
      <c r="F14" s="442">
        <f>'enrolment vs availed_PY'!F14</f>
        <v>0</v>
      </c>
      <c r="G14" s="442">
        <f>C14+D14+E14+F14</f>
        <v>301443</v>
      </c>
      <c r="H14" s="443">
        <v>240</v>
      </c>
      <c r="I14" s="442">
        <f t="shared" si="0"/>
        <v>7234.6320000000005</v>
      </c>
      <c r="J14" s="442">
        <f t="shared" si="1"/>
        <v>7234.6320000000005</v>
      </c>
      <c r="K14" s="442"/>
      <c r="L14" s="442"/>
      <c r="M14" s="442">
        <f t="shared" si="2"/>
        <v>1446.9264</v>
      </c>
      <c r="N14" s="442">
        <f t="shared" si="3"/>
        <v>422.02020000000005</v>
      </c>
      <c r="O14" s="442">
        <f t="shared" si="4"/>
        <v>422.02020000000005</v>
      </c>
      <c r="P14" s="442">
        <f t="shared" si="5"/>
        <v>271.2987</v>
      </c>
      <c r="Q14" s="442">
        <f t="shared" si="6"/>
        <v>120.5772</v>
      </c>
      <c r="R14" s="442">
        <f t="shared" si="7"/>
        <v>211.01010000000002</v>
      </c>
    </row>
    <row r="15" spans="1:18" ht="16.5">
      <c r="A15" s="441">
        <v>5</v>
      </c>
      <c r="B15" s="373" t="s">
        <v>874</v>
      </c>
      <c r="C15" s="442">
        <f>'enrolment vs availed_PY'!C15</f>
        <v>157658</v>
      </c>
      <c r="D15" s="442">
        <f>'enrolment vs availed_PY'!D15</f>
        <v>81845</v>
      </c>
      <c r="E15" s="442">
        <f>'enrolment vs availed_PY'!E15</f>
        <v>1028</v>
      </c>
      <c r="F15" s="442">
        <f>'enrolment vs availed_PY'!F15</f>
        <v>0</v>
      </c>
      <c r="G15" s="442">
        <f aca="true" t="shared" si="8" ref="G15:G45">C15+D15+E15+F15</f>
        <v>240531</v>
      </c>
      <c r="H15" s="443">
        <v>240</v>
      </c>
      <c r="I15" s="442">
        <f t="shared" si="0"/>
        <v>5772.744000000001</v>
      </c>
      <c r="J15" s="442">
        <f t="shared" si="1"/>
        <v>5772.744000000001</v>
      </c>
      <c r="K15" s="442"/>
      <c r="L15" s="442"/>
      <c r="M15" s="442">
        <f t="shared" si="2"/>
        <v>1154.5488</v>
      </c>
      <c r="N15" s="442">
        <f t="shared" si="3"/>
        <v>336.7434</v>
      </c>
      <c r="O15" s="442">
        <f t="shared" si="4"/>
        <v>336.7434</v>
      </c>
      <c r="P15" s="442">
        <f t="shared" si="5"/>
        <v>216.4779</v>
      </c>
      <c r="Q15" s="442">
        <f t="shared" si="6"/>
        <v>96.2124</v>
      </c>
      <c r="R15" s="442">
        <f t="shared" si="7"/>
        <v>168.3717</v>
      </c>
    </row>
    <row r="16" spans="1:18" ht="16.5">
      <c r="A16" s="441">
        <v>6</v>
      </c>
      <c r="B16" s="373" t="s">
        <v>875</v>
      </c>
      <c r="C16" s="442">
        <f>'enrolment vs availed_PY'!C16</f>
        <v>50428</v>
      </c>
      <c r="D16" s="442">
        <f>'enrolment vs availed_PY'!D16</f>
        <v>18708</v>
      </c>
      <c r="E16" s="442">
        <f>'enrolment vs availed_PY'!E16</f>
        <v>0</v>
      </c>
      <c r="F16" s="442">
        <f>'enrolment vs availed_PY'!F16</f>
        <v>0</v>
      </c>
      <c r="G16" s="442">
        <f t="shared" si="8"/>
        <v>69136</v>
      </c>
      <c r="H16" s="443">
        <v>240</v>
      </c>
      <c r="I16" s="442">
        <f t="shared" si="0"/>
        <v>1659.2640000000001</v>
      </c>
      <c r="J16" s="442">
        <f t="shared" si="1"/>
        <v>1659.2640000000001</v>
      </c>
      <c r="K16" s="442"/>
      <c r="L16" s="442"/>
      <c r="M16" s="442">
        <f t="shared" si="2"/>
        <v>331.8528</v>
      </c>
      <c r="N16" s="442">
        <f t="shared" si="3"/>
        <v>96.7904</v>
      </c>
      <c r="O16" s="442">
        <f t="shared" si="4"/>
        <v>96.7904</v>
      </c>
      <c r="P16" s="442">
        <f t="shared" si="5"/>
        <v>62.22240000000001</v>
      </c>
      <c r="Q16" s="442">
        <f t="shared" si="6"/>
        <v>27.654400000000003</v>
      </c>
      <c r="R16" s="442">
        <f t="shared" si="7"/>
        <v>48.3952</v>
      </c>
    </row>
    <row r="17" spans="1:18" ht="16.5">
      <c r="A17" s="441">
        <v>7</v>
      </c>
      <c r="B17" s="373" t="s">
        <v>876</v>
      </c>
      <c r="C17" s="442">
        <f>'enrolment vs availed_PY'!C17</f>
        <v>136622</v>
      </c>
      <c r="D17" s="442">
        <f>'enrolment vs availed_PY'!D17</f>
        <v>39609</v>
      </c>
      <c r="E17" s="442">
        <f>'enrolment vs availed_PY'!E17</f>
        <v>0</v>
      </c>
      <c r="F17" s="442">
        <f>'enrolment vs availed_PY'!F17</f>
        <v>0</v>
      </c>
      <c r="G17" s="442">
        <f t="shared" si="8"/>
        <v>176231</v>
      </c>
      <c r="H17" s="443">
        <v>240</v>
      </c>
      <c r="I17" s="442">
        <f t="shared" si="0"/>
        <v>4229.544</v>
      </c>
      <c r="J17" s="442">
        <f t="shared" si="1"/>
        <v>4229.544</v>
      </c>
      <c r="K17" s="442"/>
      <c r="L17" s="442"/>
      <c r="M17" s="442">
        <f t="shared" si="2"/>
        <v>845.9088</v>
      </c>
      <c r="N17" s="442">
        <f t="shared" si="3"/>
        <v>246.72340000000003</v>
      </c>
      <c r="O17" s="442">
        <f t="shared" si="4"/>
        <v>246.72340000000003</v>
      </c>
      <c r="P17" s="442">
        <f t="shared" si="5"/>
        <v>158.6079</v>
      </c>
      <c r="Q17" s="442">
        <f t="shared" si="6"/>
        <v>70.4924</v>
      </c>
      <c r="R17" s="442">
        <f t="shared" si="7"/>
        <v>123.36170000000001</v>
      </c>
    </row>
    <row r="18" spans="1:18" ht="16.5">
      <c r="A18" s="441">
        <v>8</v>
      </c>
      <c r="B18" s="373" t="s">
        <v>877</v>
      </c>
      <c r="C18" s="442">
        <f>'enrolment vs availed_PY'!C18</f>
        <v>87835</v>
      </c>
      <c r="D18" s="442">
        <f>'enrolment vs availed_PY'!D18</f>
        <v>21734</v>
      </c>
      <c r="E18" s="442">
        <f>'enrolment vs availed_PY'!E18</f>
        <v>0</v>
      </c>
      <c r="F18" s="442">
        <f>'enrolment vs availed_PY'!F18</f>
        <v>0</v>
      </c>
      <c r="G18" s="442">
        <f t="shared" si="8"/>
        <v>109569</v>
      </c>
      <c r="H18" s="443">
        <v>240</v>
      </c>
      <c r="I18" s="442">
        <f t="shared" si="0"/>
        <v>2629.656</v>
      </c>
      <c r="J18" s="442">
        <f t="shared" si="1"/>
        <v>2629.656</v>
      </c>
      <c r="K18" s="442"/>
      <c r="L18" s="442"/>
      <c r="M18" s="442">
        <f t="shared" si="2"/>
        <v>525.9312</v>
      </c>
      <c r="N18" s="442">
        <f t="shared" si="3"/>
        <v>153.3966</v>
      </c>
      <c r="O18" s="442">
        <f t="shared" si="4"/>
        <v>153.3966</v>
      </c>
      <c r="P18" s="442">
        <f t="shared" si="5"/>
        <v>98.61210000000001</v>
      </c>
      <c r="Q18" s="442">
        <f t="shared" si="6"/>
        <v>43.827600000000004</v>
      </c>
      <c r="R18" s="442">
        <f t="shared" si="7"/>
        <v>76.6983</v>
      </c>
    </row>
    <row r="19" spans="1:18" ht="16.5">
      <c r="A19" s="441">
        <v>9</v>
      </c>
      <c r="B19" s="373" t="s">
        <v>878</v>
      </c>
      <c r="C19" s="442">
        <f>'enrolment vs availed_PY'!C19</f>
        <v>104315</v>
      </c>
      <c r="D19" s="442">
        <f>'enrolment vs availed_PY'!D19</f>
        <v>69257</v>
      </c>
      <c r="E19" s="442">
        <f>'enrolment vs availed_PY'!E19</f>
        <v>0</v>
      </c>
      <c r="F19" s="442">
        <f>'enrolment vs availed_PY'!F19</f>
        <v>0</v>
      </c>
      <c r="G19" s="442">
        <f t="shared" si="8"/>
        <v>173572</v>
      </c>
      <c r="H19" s="443">
        <v>240</v>
      </c>
      <c r="I19" s="442">
        <f t="shared" si="0"/>
        <v>4165.728</v>
      </c>
      <c r="J19" s="442">
        <f t="shared" si="1"/>
        <v>4165.728</v>
      </c>
      <c r="K19" s="442"/>
      <c r="L19" s="442"/>
      <c r="M19" s="442">
        <f t="shared" si="2"/>
        <v>833.1456000000001</v>
      </c>
      <c r="N19" s="442">
        <f t="shared" si="3"/>
        <v>243.00080000000003</v>
      </c>
      <c r="O19" s="442">
        <f t="shared" si="4"/>
        <v>243.00080000000003</v>
      </c>
      <c r="P19" s="442">
        <f t="shared" si="5"/>
        <v>156.21480000000003</v>
      </c>
      <c r="Q19" s="442">
        <f t="shared" si="6"/>
        <v>69.42880000000001</v>
      </c>
      <c r="R19" s="442">
        <f t="shared" si="7"/>
        <v>121.50040000000001</v>
      </c>
    </row>
    <row r="20" spans="1:18" ht="16.5">
      <c r="A20" s="441">
        <v>10</v>
      </c>
      <c r="B20" s="373" t="s">
        <v>879</v>
      </c>
      <c r="C20" s="442">
        <f>'enrolment vs availed_PY'!C20</f>
        <v>57387</v>
      </c>
      <c r="D20" s="442">
        <f>'enrolment vs availed_PY'!D20</f>
        <v>7224</v>
      </c>
      <c r="E20" s="442">
        <f>'enrolment vs availed_PY'!E20</f>
        <v>0</v>
      </c>
      <c r="F20" s="442">
        <f>'enrolment vs availed_PY'!F20</f>
        <v>26</v>
      </c>
      <c r="G20" s="442">
        <f t="shared" si="8"/>
        <v>64637</v>
      </c>
      <c r="H20" s="443">
        <v>240</v>
      </c>
      <c r="I20" s="442">
        <f t="shared" si="0"/>
        <v>1551.288</v>
      </c>
      <c r="J20" s="442">
        <f t="shared" si="1"/>
        <v>1551.288</v>
      </c>
      <c r="K20" s="442"/>
      <c r="L20" s="442"/>
      <c r="M20" s="442">
        <f t="shared" si="2"/>
        <v>310.2576</v>
      </c>
      <c r="N20" s="442">
        <f t="shared" si="3"/>
        <v>90.49180000000001</v>
      </c>
      <c r="O20" s="442">
        <f t="shared" si="4"/>
        <v>90.49180000000001</v>
      </c>
      <c r="P20" s="442">
        <f t="shared" si="5"/>
        <v>58.173300000000005</v>
      </c>
      <c r="Q20" s="442">
        <f t="shared" si="6"/>
        <v>25.8548</v>
      </c>
      <c r="R20" s="442">
        <f t="shared" si="7"/>
        <v>45.245900000000006</v>
      </c>
    </row>
    <row r="21" spans="1:18" ht="16.5">
      <c r="A21" s="441">
        <v>11</v>
      </c>
      <c r="B21" s="373" t="s">
        <v>880</v>
      </c>
      <c r="C21" s="442">
        <f>'enrolment vs availed_PY'!C21</f>
        <v>61765</v>
      </c>
      <c r="D21" s="442">
        <f>'enrolment vs availed_PY'!D21</f>
        <v>13140</v>
      </c>
      <c r="E21" s="442">
        <f>'enrolment vs availed_PY'!E21</f>
        <v>0</v>
      </c>
      <c r="F21" s="442">
        <f>'enrolment vs availed_PY'!F21</f>
        <v>0</v>
      </c>
      <c r="G21" s="442">
        <f t="shared" si="8"/>
        <v>74905</v>
      </c>
      <c r="H21" s="443">
        <v>240</v>
      </c>
      <c r="I21" s="442">
        <f t="shared" si="0"/>
        <v>1797.72</v>
      </c>
      <c r="J21" s="442">
        <f t="shared" si="1"/>
        <v>1797.72</v>
      </c>
      <c r="K21" s="442"/>
      <c r="L21" s="442"/>
      <c r="M21" s="442">
        <f t="shared" si="2"/>
        <v>359.544</v>
      </c>
      <c r="N21" s="442">
        <f t="shared" si="3"/>
        <v>104.867</v>
      </c>
      <c r="O21" s="442">
        <f t="shared" si="4"/>
        <v>104.867</v>
      </c>
      <c r="P21" s="442">
        <f t="shared" si="5"/>
        <v>67.4145</v>
      </c>
      <c r="Q21" s="442">
        <f t="shared" si="6"/>
        <v>29.962000000000003</v>
      </c>
      <c r="R21" s="442">
        <f t="shared" si="7"/>
        <v>52.4335</v>
      </c>
    </row>
    <row r="22" spans="1:18" ht="16.5">
      <c r="A22" s="441">
        <v>12</v>
      </c>
      <c r="B22" s="373" t="s">
        <v>881</v>
      </c>
      <c r="C22" s="442">
        <f>'enrolment vs availed_PY'!C22</f>
        <v>80490</v>
      </c>
      <c r="D22" s="442">
        <f>'enrolment vs availed_PY'!D22</f>
        <v>21492</v>
      </c>
      <c r="E22" s="442">
        <f>'enrolment vs availed_PY'!E22</f>
        <v>0</v>
      </c>
      <c r="F22" s="442">
        <f>'enrolment vs availed_PY'!F22</f>
        <v>0</v>
      </c>
      <c r="G22" s="442">
        <f t="shared" si="8"/>
        <v>101982</v>
      </c>
      <c r="H22" s="443">
        <v>240</v>
      </c>
      <c r="I22" s="442">
        <f t="shared" si="0"/>
        <v>2447.568</v>
      </c>
      <c r="J22" s="442">
        <f t="shared" si="1"/>
        <v>2447.568</v>
      </c>
      <c r="K22" s="442"/>
      <c r="L22" s="442"/>
      <c r="M22" s="442">
        <f t="shared" si="2"/>
        <v>489.5136</v>
      </c>
      <c r="N22" s="442">
        <f t="shared" si="3"/>
        <v>142.7748</v>
      </c>
      <c r="O22" s="442">
        <f t="shared" si="4"/>
        <v>142.7748</v>
      </c>
      <c r="P22" s="442">
        <f t="shared" si="5"/>
        <v>91.78380000000001</v>
      </c>
      <c r="Q22" s="442">
        <f t="shared" si="6"/>
        <v>40.79280000000001</v>
      </c>
      <c r="R22" s="442">
        <f t="shared" si="7"/>
        <v>71.3874</v>
      </c>
    </row>
    <row r="23" spans="1:18" ht="16.5">
      <c r="A23" s="441">
        <v>13</v>
      </c>
      <c r="B23" s="373" t="s">
        <v>882</v>
      </c>
      <c r="C23" s="442">
        <f>'enrolment vs availed_PY'!C23</f>
        <v>208878</v>
      </c>
      <c r="D23" s="442">
        <f>'enrolment vs availed_PY'!D23</f>
        <v>119555</v>
      </c>
      <c r="E23" s="442">
        <f>'enrolment vs availed_PY'!E23</f>
        <v>1400</v>
      </c>
      <c r="F23" s="442">
        <f>'enrolment vs availed_PY'!F23</f>
        <v>54</v>
      </c>
      <c r="G23" s="442">
        <f t="shared" si="8"/>
        <v>329887</v>
      </c>
      <c r="H23" s="443">
        <v>240</v>
      </c>
      <c r="I23" s="442">
        <f t="shared" si="0"/>
        <v>7917.2880000000005</v>
      </c>
      <c r="J23" s="442">
        <f t="shared" si="1"/>
        <v>7917.2880000000005</v>
      </c>
      <c r="K23" s="442"/>
      <c r="L23" s="442"/>
      <c r="M23" s="442">
        <f t="shared" si="2"/>
        <v>1583.4576000000002</v>
      </c>
      <c r="N23" s="442">
        <f t="shared" si="3"/>
        <v>461.84180000000003</v>
      </c>
      <c r="O23" s="442">
        <f t="shared" si="4"/>
        <v>461.84180000000003</v>
      </c>
      <c r="P23" s="442">
        <f t="shared" si="5"/>
        <v>296.8983</v>
      </c>
      <c r="Q23" s="442">
        <f t="shared" si="6"/>
        <v>131.9548</v>
      </c>
      <c r="R23" s="442">
        <f t="shared" si="7"/>
        <v>230.92090000000002</v>
      </c>
    </row>
    <row r="24" spans="1:18" ht="16.5">
      <c r="A24" s="441">
        <v>14</v>
      </c>
      <c r="B24" s="373" t="s">
        <v>883</v>
      </c>
      <c r="C24" s="442">
        <f>'enrolment vs availed_PY'!C24</f>
        <v>120526</v>
      </c>
      <c r="D24" s="442">
        <f>'enrolment vs availed_PY'!D24</f>
        <v>40011</v>
      </c>
      <c r="E24" s="442">
        <f>'enrolment vs availed_PY'!E24</f>
        <v>0</v>
      </c>
      <c r="F24" s="442">
        <f>'enrolment vs availed_PY'!F24</f>
        <v>0</v>
      </c>
      <c r="G24" s="442">
        <f t="shared" si="8"/>
        <v>160537</v>
      </c>
      <c r="H24" s="443">
        <v>240</v>
      </c>
      <c r="I24" s="442">
        <f t="shared" si="0"/>
        <v>3852.8880000000004</v>
      </c>
      <c r="J24" s="442">
        <f t="shared" si="1"/>
        <v>3852.8880000000004</v>
      </c>
      <c r="K24" s="442"/>
      <c r="L24" s="442"/>
      <c r="M24" s="442">
        <f t="shared" si="2"/>
        <v>770.5776000000001</v>
      </c>
      <c r="N24" s="442">
        <f t="shared" si="3"/>
        <v>224.75180000000003</v>
      </c>
      <c r="O24" s="442">
        <f t="shared" si="4"/>
        <v>224.75180000000003</v>
      </c>
      <c r="P24" s="442">
        <f t="shared" si="5"/>
        <v>144.4833</v>
      </c>
      <c r="Q24" s="442">
        <f t="shared" si="6"/>
        <v>64.21480000000001</v>
      </c>
      <c r="R24" s="442">
        <f t="shared" si="7"/>
        <v>112.37590000000002</v>
      </c>
    </row>
    <row r="25" spans="1:18" ht="16.5">
      <c r="A25" s="441">
        <v>15</v>
      </c>
      <c r="B25" s="373" t="s">
        <v>884</v>
      </c>
      <c r="C25" s="442">
        <f>'enrolment vs availed_PY'!C25</f>
        <v>162476</v>
      </c>
      <c r="D25" s="442">
        <f>'enrolment vs availed_PY'!D25</f>
        <v>75388</v>
      </c>
      <c r="E25" s="442">
        <f>'enrolment vs availed_PY'!E25</f>
        <v>0</v>
      </c>
      <c r="F25" s="442">
        <f>'enrolment vs availed_PY'!F25</f>
        <v>0</v>
      </c>
      <c r="G25" s="442">
        <f t="shared" si="8"/>
        <v>237864</v>
      </c>
      <c r="H25" s="443">
        <v>240</v>
      </c>
      <c r="I25" s="442">
        <f t="shared" si="0"/>
        <v>5708.736</v>
      </c>
      <c r="J25" s="442">
        <f t="shared" si="1"/>
        <v>5708.736</v>
      </c>
      <c r="K25" s="442"/>
      <c r="L25" s="442"/>
      <c r="M25" s="442">
        <f t="shared" si="2"/>
        <v>1141.7472</v>
      </c>
      <c r="N25" s="442">
        <f t="shared" si="3"/>
        <v>333.00960000000003</v>
      </c>
      <c r="O25" s="442">
        <f t="shared" si="4"/>
        <v>333.00960000000003</v>
      </c>
      <c r="P25" s="442">
        <f t="shared" si="5"/>
        <v>214.07760000000002</v>
      </c>
      <c r="Q25" s="442">
        <f t="shared" si="6"/>
        <v>95.1456</v>
      </c>
      <c r="R25" s="442">
        <f t="shared" si="7"/>
        <v>166.50480000000002</v>
      </c>
    </row>
    <row r="26" spans="1:18" ht="16.5">
      <c r="A26" s="441">
        <v>16</v>
      </c>
      <c r="B26" s="373" t="s">
        <v>885</v>
      </c>
      <c r="C26" s="442">
        <f>'enrolment vs availed_PY'!C26</f>
        <v>106072</v>
      </c>
      <c r="D26" s="442">
        <f>'enrolment vs availed_PY'!D26</f>
        <v>95377</v>
      </c>
      <c r="E26" s="442">
        <f>'enrolment vs availed_PY'!E26</f>
        <v>0</v>
      </c>
      <c r="F26" s="442">
        <f>'enrolment vs availed_PY'!F26</f>
        <v>0</v>
      </c>
      <c r="G26" s="442">
        <f t="shared" si="8"/>
        <v>201449</v>
      </c>
      <c r="H26" s="443">
        <v>240</v>
      </c>
      <c r="I26" s="442">
        <f t="shared" si="0"/>
        <v>4834.776</v>
      </c>
      <c r="J26" s="442">
        <f t="shared" si="1"/>
        <v>4834.776</v>
      </c>
      <c r="K26" s="442"/>
      <c r="L26" s="442"/>
      <c r="M26" s="442">
        <f t="shared" si="2"/>
        <v>966.9552000000001</v>
      </c>
      <c r="N26" s="442">
        <f t="shared" si="3"/>
        <v>282.02860000000004</v>
      </c>
      <c r="O26" s="442">
        <f t="shared" si="4"/>
        <v>282.02860000000004</v>
      </c>
      <c r="P26" s="442">
        <f t="shared" si="5"/>
        <v>181.3041</v>
      </c>
      <c r="Q26" s="442">
        <f t="shared" si="6"/>
        <v>80.57960000000001</v>
      </c>
      <c r="R26" s="442">
        <f t="shared" si="7"/>
        <v>141.01430000000002</v>
      </c>
    </row>
    <row r="27" spans="1:18" ht="16.5">
      <c r="A27" s="441">
        <v>17</v>
      </c>
      <c r="B27" s="373" t="s">
        <v>886</v>
      </c>
      <c r="C27" s="442">
        <f>'enrolment vs availed_PY'!C27</f>
        <v>166664</v>
      </c>
      <c r="D27" s="442">
        <f>'enrolment vs availed_PY'!D27</f>
        <v>199832</v>
      </c>
      <c r="E27" s="442">
        <f>'enrolment vs availed_PY'!E27</f>
        <v>0</v>
      </c>
      <c r="F27" s="442">
        <f>'enrolment vs availed_PY'!F27</f>
        <v>0</v>
      </c>
      <c r="G27" s="442">
        <f t="shared" si="8"/>
        <v>366496</v>
      </c>
      <c r="H27" s="443">
        <v>240</v>
      </c>
      <c r="I27" s="442">
        <f t="shared" si="0"/>
        <v>8795.904</v>
      </c>
      <c r="J27" s="442">
        <f t="shared" si="1"/>
        <v>8795.904</v>
      </c>
      <c r="K27" s="442"/>
      <c r="L27" s="442"/>
      <c r="M27" s="442">
        <f t="shared" si="2"/>
        <v>1759.1808000000003</v>
      </c>
      <c r="N27" s="442">
        <f t="shared" si="3"/>
        <v>513.0944000000001</v>
      </c>
      <c r="O27" s="442">
        <f t="shared" si="4"/>
        <v>513.0944000000001</v>
      </c>
      <c r="P27" s="442">
        <f t="shared" si="5"/>
        <v>329.8464</v>
      </c>
      <c r="Q27" s="442">
        <f t="shared" si="6"/>
        <v>146.5984</v>
      </c>
      <c r="R27" s="442">
        <f t="shared" si="7"/>
        <v>256.54720000000003</v>
      </c>
    </row>
    <row r="28" spans="1:18" ht="16.5">
      <c r="A28" s="441">
        <v>18</v>
      </c>
      <c r="B28" s="373" t="s">
        <v>887</v>
      </c>
      <c r="C28" s="442">
        <f>'enrolment vs availed_PY'!C28</f>
        <v>88757</v>
      </c>
      <c r="D28" s="442">
        <f>'enrolment vs availed_PY'!D28</f>
        <v>121360</v>
      </c>
      <c r="E28" s="442">
        <f>'enrolment vs availed_PY'!E28</f>
        <v>0</v>
      </c>
      <c r="F28" s="442">
        <f>'enrolment vs availed_PY'!F28</f>
        <v>213</v>
      </c>
      <c r="G28" s="442">
        <f t="shared" si="8"/>
        <v>210330</v>
      </c>
      <c r="H28" s="443">
        <v>240</v>
      </c>
      <c r="I28" s="442">
        <f t="shared" si="0"/>
        <v>5047.92</v>
      </c>
      <c r="J28" s="442">
        <f t="shared" si="1"/>
        <v>5047.92</v>
      </c>
      <c r="K28" s="442"/>
      <c r="L28" s="442"/>
      <c r="M28" s="442">
        <f t="shared" si="2"/>
        <v>1009.5840000000001</v>
      </c>
      <c r="N28" s="442">
        <f t="shared" si="3"/>
        <v>294.46200000000005</v>
      </c>
      <c r="O28" s="442">
        <f t="shared" si="4"/>
        <v>294.46200000000005</v>
      </c>
      <c r="P28" s="442">
        <f t="shared" si="5"/>
        <v>189.29700000000003</v>
      </c>
      <c r="Q28" s="442">
        <f t="shared" si="6"/>
        <v>84.132</v>
      </c>
      <c r="R28" s="442">
        <f t="shared" si="7"/>
        <v>147.23100000000002</v>
      </c>
    </row>
    <row r="29" spans="1:18" ht="16.5">
      <c r="A29" s="441">
        <v>19</v>
      </c>
      <c r="B29" s="373" t="s">
        <v>888</v>
      </c>
      <c r="C29" s="442">
        <f>'enrolment vs availed_PY'!C29</f>
        <v>164052</v>
      </c>
      <c r="D29" s="442">
        <f>'enrolment vs availed_PY'!D29</f>
        <v>94234</v>
      </c>
      <c r="E29" s="442">
        <f>'enrolment vs availed_PY'!E29</f>
        <v>0</v>
      </c>
      <c r="F29" s="442">
        <f>'enrolment vs availed_PY'!F29</f>
        <v>0</v>
      </c>
      <c r="G29" s="442">
        <f t="shared" si="8"/>
        <v>258286</v>
      </c>
      <c r="H29" s="443">
        <v>240</v>
      </c>
      <c r="I29" s="442">
        <f t="shared" si="0"/>
        <v>6198.8640000000005</v>
      </c>
      <c r="J29" s="442">
        <f t="shared" si="1"/>
        <v>6198.8640000000005</v>
      </c>
      <c r="K29" s="442"/>
      <c r="L29" s="442"/>
      <c r="M29" s="442">
        <f t="shared" si="2"/>
        <v>1239.7728000000002</v>
      </c>
      <c r="N29" s="442">
        <f t="shared" si="3"/>
        <v>361.60040000000004</v>
      </c>
      <c r="O29" s="442">
        <f t="shared" si="4"/>
        <v>361.60040000000004</v>
      </c>
      <c r="P29" s="442">
        <f t="shared" si="5"/>
        <v>232.4574</v>
      </c>
      <c r="Q29" s="442">
        <f t="shared" si="6"/>
        <v>103.3144</v>
      </c>
      <c r="R29" s="442">
        <f t="shared" si="7"/>
        <v>180.80020000000002</v>
      </c>
    </row>
    <row r="30" spans="1:18" ht="16.5">
      <c r="A30" s="441">
        <v>20</v>
      </c>
      <c r="B30" s="373" t="s">
        <v>889</v>
      </c>
      <c r="C30" s="442">
        <f>'enrolment vs availed_PY'!C30</f>
        <v>95830</v>
      </c>
      <c r="D30" s="442">
        <f>'enrolment vs availed_PY'!D30</f>
        <v>28139</v>
      </c>
      <c r="E30" s="442">
        <f>'enrolment vs availed_PY'!E30</f>
        <v>0</v>
      </c>
      <c r="F30" s="442">
        <f>'enrolment vs availed_PY'!F30</f>
        <v>0</v>
      </c>
      <c r="G30" s="442">
        <f t="shared" si="8"/>
        <v>123969</v>
      </c>
      <c r="H30" s="443">
        <v>240</v>
      </c>
      <c r="I30" s="442">
        <f t="shared" si="0"/>
        <v>2975.2560000000003</v>
      </c>
      <c r="J30" s="442">
        <f t="shared" si="1"/>
        <v>2975.2560000000003</v>
      </c>
      <c r="K30" s="442"/>
      <c r="L30" s="442"/>
      <c r="M30" s="442">
        <f t="shared" si="2"/>
        <v>595.0512</v>
      </c>
      <c r="N30" s="442">
        <f t="shared" si="3"/>
        <v>173.5566</v>
      </c>
      <c r="O30" s="442">
        <f t="shared" si="4"/>
        <v>173.5566</v>
      </c>
      <c r="P30" s="442">
        <f t="shared" si="5"/>
        <v>111.5721</v>
      </c>
      <c r="Q30" s="442">
        <f t="shared" si="6"/>
        <v>49.5876</v>
      </c>
      <c r="R30" s="442">
        <f t="shared" si="7"/>
        <v>86.7783</v>
      </c>
    </row>
    <row r="31" spans="1:18" ht="16.5">
      <c r="A31" s="441">
        <v>21</v>
      </c>
      <c r="B31" s="373" t="s">
        <v>890</v>
      </c>
      <c r="C31" s="442">
        <f>'enrolment vs availed_PY'!C31</f>
        <v>286161</v>
      </c>
      <c r="D31" s="442">
        <f>'enrolment vs availed_PY'!D31</f>
        <v>149787</v>
      </c>
      <c r="E31" s="442">
        <f>'enrolment vs availed_PY'!E31</f>
        <v>0</v>
      </c>
      <c r="F31" s="442">
        <f>'enrolment vs availed_PY'!F31</f>
        <v>0</v>
      </c>
      <c r="G31" s="442">
        <f t="shared" si="8"/>
        <v>435948</v>
      </c>
      <c r="H31" s="443">
        <v>240</v>
      </c>
      <c r="I31" s="442">
        <f t="shared" si="0"/>
        <v>10462.752</v>
      </c>
      <c r="J31" s="442">
        <f t="shared" si="1"/>
        <v>10462.752</v>
      </c>
      <c r="K31" s="442"/>
      <c r="L31" s="442"/>
      <c r="M31" s="442">
        <f t="shared" si="2"/>
        <v>2092.5504</v>
      </c>
      <c r="N31" s="442">
        <f t="shared" si="3"/>
        <v>610.3272000000001</v>
      </c>
      <c r="O31" s="442">
        <f t="shared" si="4"/>
        <v>610.3272000000001</v>
      </c>
      <c r="P31" s="442">
        <f t="shared" si="5"/>
        <v>392.3532</v>
      </c>
      <c r="Q31" s="442">
        <f t="shared" si="6"/>
        <v>174.37920000000003</v>
      </c>
      <c r="R31" s="442">
        <f t="shared" si="7"/>
        <v>305.16360000000003</v>
      </c>
    </row>
    <row r="32" spans="1:18" ht="16.5">
      <c r="A32" s="441">
        <v>22</v>
      </c>
      <c r="B32" s="373" t="s">
        <v>891</v>
      </c>
      <c r="C32" s="442">
        <f>'enrolment vs availed_PY'!C32</f>
        <v>83203</v>
      </c>
      <c r="D32" s="442">
        <f>'enrolment vs availed_PY'!D32</f>
        <v>31738</v>
      </c>
      <c r="E32" s="442">
        <f>'enrolment vs availed_PY'!E32</f>
        <v>0</v>
      </c>
      <c r="F32" s="442">
        <f>'enrolment vs availed_PY'!F32</f>
        <v>0</v>
      </c>
      <c r="G32" s="442">
        <f t="shared" si="8"/>
        <v>114941</v>
      </c>
      <c r="H32" s="443">
        <v>240</v>
      </c>
      <c r="I32" s="442">
        <f t="shared" si="0"/>
        <v>2758.5840000000003</v>
      </c>
      <c r="J32" s="442">
        <f t="shared" si="1"/>
        <v>2758.5840000000003</v>
      </c>
      <c r="K32" s="442"/>
      <c r="L32" s="442"/>
      <c r="M32" s="442">
        <f t="shared" si="2"/>
        <v>551.7168</v>
      </c>
      <c r="N32" s="442">
        <f t="shared" si="3"/>
        <v>160.91740000000001</v>
      </c>
      <c r="O32" s="442">
        <f t="shared" si="4"/>
        <v>160.91740000000001</v>
      </c>
      <c r="P32" s="442">
        <f t="shared" si="5"/>
        <v>103.44690000000001</v>
      </c>
      <c r="Q32" s="442">
        <f t="shared" si="6"/>
        <v>45.976400000000005</v>
      </c>
      <c r="R32" s="442">
        <f t="shared" si="7"/>
        <v>80.45870000000001</v>
      </c>
    </row>
    <row r="33" spans="1:18" ht="16.5">
      <c r="A33" s="441">
        <v>23</v>
      </c>
      <c r="B33" s="373" t="s">
        <v>892</v>
      </c>
      <c r="C33" s="442">
        <f>'enrolment vs availed_PY'!C33</f>
        <v>102912</v>
      </c>
      <c r="D33" s="442">
        <f>'enrolment vs availed_PY'!D33</f>
        <v>56768</v>
      </c>
      <c r="E33" s="442">
        <f>'enrolment vs availed_PY'!E33</f>
        <v>250</v>
      </c>
      <c r="F33" s="442">
        <f>'enrolment vs availed_PY'!F33</f>
        <v>0</v>
      </c>
      <c r="G33" s="442">
        <f t="shared" si="8"/>
        <v>159930</v>
      </c>
      <c r="H33" s="443">
        <v>240</v>
      </c>
      <c r="I33" s="442">
        <f t="shared" si="0"/>
        <v>3838.32</v>
      </c>
      <c r="J33" s="442">
        <f t="shared" si="1"/>
        <v>3838.32</v>
      </c>
      <c r="K33" s="442"/>
      <c r="L33" s="442"/>
      <c r="M33" s="442">
        <f t="shared" si="2"/>
        <v>767.664</v>
      </c>
      <c r="N33" s="442">
        <f t="shared" si="3"/>
        <v>223.90200000000002</v>
      </c>
      <c r="O33" s="442">
        <f t="shared" si="4"/>
        <v>223.90200000000002</v>
      </c>
      <c r="P33" s="442">
        <f t="shared" si="5"/>
        <v>143.937</v>
      </c>
      <c r="Q33" s="442">
        <f t="shared" si="6"/>
        <v>63.97200000000001</v>
      </c>
      <c r="R33" s="442">
        <f t="shared" si="7"/>
        <v>111.95100000000001</v>
      </c>
    </row>
    <row r="34" spans="1:18" ht="16.5">
      <c r="A34" s="441">
        <v>24</v>
      </c>
      <c r="B34" s="373" t="s">
        <v>893</v>
      </c>
      <c r="C34" s="442">
        <f>'enrolment vs availed_PY'!C34</f>
        <v>293689</v>
      </c>
      <c r="D34" s="442">
        <f>'enrolment vs availed_PY'!D34</f>
        <v>170111</v>
      </c>
      <c r="E34" s="442">
        <f>'enrolment vs availed_PY'!E34</f>
        <v>0</v>
      </c>
      <c r="F34" s="442">
        <f>'enrolment vs availed_PY'!F34</f>
        <v>0</v>
      </c>
      <c r="G34" s="442">
        <f t="shared" si="8"/>
        <v>463800</v>
      </c>
      <c r="H34" s="443">
        <v>240</v>
      </c>
      <c r="I34" s="442">
        <f t="shared" si="0"/>
        <v>11131.2</v>
      </c>
      <c r="J34" s="442">
        <f t="shared" si="1"/>
        <v>11131.2</v>
      </c>
      <c r="K34" s="442"/>
      <c r="L34" s="442"/>
      <c r="M34" s="442">
        <f t="shared" si="2"/>
        <v>2226.2400000000002</v>
      </c>
      <c r="N34" s="442">
        <f t="shared" si="3"/>
        <v>649.32</v>
      </c>
      <c r="O34" s="442">
        <f t="shared" si="4"/>
        <v>649.32</v>
      </c>
      <c r="P34" s="442">
        <f t="shared" si="5"/>
        <v>417.42</v>
      </c>
      <c r="Q34" s="442">
        <f t="shared" si="6"/>
        <v>185.52</v>
      </c>
      <c r="R34" s="442">
        <f t="shared" si="7"/>
        <v>324.66</v>
      </c>
    </row>
    <row r="35" spans="1:18" ht="16.5">
      <c r="A35" s="441">
        <v>25</v>
      </c>
      <c r="B35" s="373" t="s">
        <v>894</v>
      </c>
      <c r="C35" s="442">
        <f>'enrolment vs availed_PY'!C35</f>
        <v>90412</v>
      </c>
      <c r="D35" s="442">
        <f>'enrolment vs availed_PY'!D35</f>
        <v>29215</v>
      </c>
      <c r="E35" s="442">
        <f>'enrolment vs availed_PY'!E35</f>
        <v>0</v>
      </c>
      <c r="F35" s="442">
        <f>'enrolment vs availed_PY'!F35</f>
        <v>0</v>
      </c>
      <c r="G35" s="442">
        <f t="shared" si="8"/>
        <v>119627</v>
      </c>
      <c r="H35" s="443">
        <v>240</v>
      </c>
      <c r="I35" s="442">
        <f t="shared" si="0"/>
        <v>2871.0480000000002</v>
      </c>
      <c r="J35" s="442">
        <f t="shared" si="1"/>
        <v>2871.0480000000002</v>
      </c>
      <c r="K35" s="442"/>
      <c r="L35" s="442"/>
      <c r="M35" s="442">
        <f t="shared" si="2"/>
        <v>574.2096</v>
      </c>
      <c r="N35" s="442">
        <f t="shared" si="3"/>
        <v>167.4778</v>
      </c>
      <c r="O35" s="442">
        <f t="shared" si="4"/>
        <v>167.4778</v>
      </c>
      <c r="P35" s="442">
        <f t="shared" si="5"/>
        <v>107.66430000000001</v>
      </c>
      <c r="Q35" s="442">
        <f t="shared" si="6"/>
        <v>47.85080000000001</v>
      </c>
      <c r="R35" s="442">
        <f t="shared" si="7"/>
        <v>83.7389</v>
      </c>
    </row>
    <row r="36" spans="1:18" ht="16.5">
      <c r="A36" s="441">
        <v>26</v>
      </c>
      <c r="B36" s="373" t="s">
        <v>895</v>
      </c>
      <c r="C36" s="442">
        <f>'enrolment vs availed_PY'!C36</f>
        <v>69436</v>
      </c>
      <c r="D36" s="442">
        <f>'enrolment vs availed_PY'!D36</f>
        <v>14519</v>
      </c>
      <c r="E36" s="442">
        <f>'enrolment vs availed_PY'!E36</f>
        <v>0</v>
      </c>
      <c r="F36" s="442">
        <f>'enrolment vs availed_PY'!F36</f>
        <v>0</v>
      </c>
      <c r="G36" s="442">
        <f t="shared" si="8"/>
        <v>83955</v>
      </c>
      <c r="H36" s="443">
        <v>240</v>
      </c>
      <c r="I36" s="442">
        <f t="shared" si="0"/>
        <v>2014.92</v>
      </c>
      <c r="J36" s="442">
        <f t="shared" si="1"/>
        <v>2014.92</v>
      </c>
      <c r="K36" s="442"/>
      <c r="L36" s="442"/>
      <c r="M36" s="442">
        <f t="shared" si="2"/>
        <v>402.98400000000004</v>
      </c>
      <c r="N36" s="442">
        <f t="shared" si="3"/>
        <v>117.537</v>
      </c>
      <c r="O36" s="442">
        <f t="shared" si="4"/>
        <v>117.537</v>
      </c>
      <c r="P36" s="442">
        <f t="shared" si="5"/>
        <v>75.5595</v>
      </c>
      <c r="Q36" s="442">
        <f t="shared" si="6"/>
        <v>33.582</v>
      </c>
      <c r="R36" s="442">
        <f t="shared" si="7"/>
        <v>58.7685</v>
      </c>
    </row>
    <row r="37" spans="1:18" ht="16.5">
      <c r="A37" s="441">
        <v>27</v>
      </c>
      <c r="B37" s="373" t="s">
        <v>896</v>
      </c>
      <c r="C37" s="442">
        <f>'enrolment vs availed_PY'!C37</f>
        <v>110018</v>
      </c>
      <c r="D37" s="442">
        <f>'enrolment vs availed_PY'!D37</f>
        <v>69738</v>
      </c>
      <c r="E37" s="442">
        <f>'enrolment vs availed_PY'!E37</f>
        <v>0</v>
      </c>
      <c r="F37" s="442">
        <f>'enrolment vs availed_PY'!F37</f>
        <v>0</v>
      </c>
      <c r="G37" s="442">
        <f t="shared" si="8"/>
        <v>179756</v>
      </c>
      <c r="H37" s="443">
        <v>240</v>
      </c>
      <c r="I37" s="442">
        <f t="shared" si="0"/>
        <v>4314.144</v>
      </c>
      <c r="J37" s="442">
        <f t="shared" si="1"/>
        <v>4314.144</v>
      </c>
      <c r="K37" s="442"/>
      <c r="L37" s="442"/>
      <c r="M37" s="442">
        <f t="shared" si="2"/>
        <v>862.8288000000001</v>
      </c>
      <c r="N37" s="442">
        <f>G37*70*0.00002</f>
        <v>251.65840000000003</v>
      </c>
      <c r="O37" s="442">
        <f>G37*70*0.00002</f>
        <v>251.65840000000003</v>
      </c>
      <c r="P37" s="442">
        <f>G37*45*0.00002</f>
        <v>161.78040000000001</v>
      </c>
      <c r="Q37" s="442">
        <f t="shared" si="6"/>
        <v>71.9024</v>
      </c>
      <c r="R37" s="442">
        <f t="shared" si="7"/>
        <v>125.82920000000001</v>
      </c>
    </row>
    <row r="38" spans="1:18" ht="16.5">
      <c r="A38" s="441">
        <v>28</v>
      </c>
      <c r="B38" s="373" t="s">
        <v>897</v>
      </c>
      <c r="C38" s="442">
        <f>'enrolment vs availed_PY'!C38</f>
        <v>121038</v>
      </c>
      <c r="D38" s="442">
        <f>'enrolment vs availed_PY'!D38</f>
        <v>45063</v>
      </c>
      <c r="E38" s="442">
        <f>'enrolment vs availed_PY'!E38</f>
        <v>0</v>
      </c>
      <c r="F38" s="442">
        <f>'enrolment vs availed_PY'!F38</f>
        <v>0</v>
      </c>
      <c r="G38" s="442">
        <f t="shared" si="8"/>
        <v>166101</v>
      </c>
      <c r="H38" s="443">
        <v>240</v>
      </c>
      <c r="I38" s="442">
        <f t="shared" si="0"/>
        <v>3986.424</v>
      </c>
      <c r="J38" s="442">
        <f t="shared" si="1"/>
        <v>3986.424</v>
      </c>
      <c r="K38" s="442"/>
      <c r="L38" s="442"/>
      <c r="M38" s="442">
        <f t="shared" si="2"/>
        <v>797.2848000000001</v>
      </c>
      <c r="N38" s="442">
        <f aca="true" t="shared" si="9" ref="N38:N45">G38*70*0.00002</f>
        <v>232.5414</v>
      </c>
      <c r="O38" s="442">
        <f aca="true" t="shared" si="10" ref="O38:O45">G38*70*0.00002</f>
        <v>232.5414</v>
      </c>
      <c r="P38" s="442">
        <f aca="true" t="shared" si="11" ref="P38:P45">G38*45*0.00002</f>
        <v>149.4909</v>
      </c>
      <c r="Q38" s="442">
        <f t="shared" si="6"/>
        <v>66.44040000000001</v>
      </c>
      <c r="R38" s="442">
        <f t="shared" si="7"/>
        <v>116.2707</v>
      </c>
    </row>
    <row r="39" spans="1:18" ht="16.5">
      <c r="A39" s="441">
        <v>29</v>
      </c>
      <c r="B39" s="373" t="s">
        <v>898</v>
      </c>
      <c r="C39" s="442">
        <f>'enrolment vs availed_PY'!C39</f>
        <v>33674</v>
      </c>
      <c r="D39" s="442">
        <f>'enrolment vs availed_PY'!D39</f>
        <v>6092</v>
      </c>
      <c r="E39" s="442">
        <f>'enrolment vs availed_PY'!E39</f>
        <v>0</v>
      </c>
      <c r="F39" s="442">
        <f>'enrolment vs availed_PY'!F39</f>
        <v>0</v>
      </c>
      <c r="G39" s="442">
        <f t="shared" si="8"/>
        <v>39766</v>
      </c>
      <c r="H39" s="443">
        <v>240</v>
      </c>
      <c r="I39" s="442">
        <f t="shared" si="0"/>
        <v>954.384</v>
      </c>
      <c r="J39" s="442">
        <f t="shared" si="1"/>
        <v>954.384</v>
      </c>
      <c r="K39" s="442">
        <v>0</v>
      </c>
      <c r="L39" s="442">
        <v>0</v>
      </c>
      <c r="M39" s="442">
        <f t="shared" si="2"/>
        <v>190.8768</v>
      </c>
      <c r="N39" s="442">
        <f t="shared" si="9"/>
        <v>55.6724</v>
      </c>
      <c r="O39" s="442">
        <f t="shared" si="10"/>
        <v>55.6724</v>
      </c>
      <c r="P39" s="442">
        <f t="shared" si="11"/>
        <v>35.7894</v>
      </c>
      <c r="Q39" s="442">
        <f t="shared" si="6"/>
        <v>15.906400000000001</v>
      </c>
      <c r="R39" s="442">
        <f t="shared" si="7"/>
        <v>27.8362</v>
      </c>
    </row>
    <row r="40" spans="1:18" ht="16.5">
      <c r="A40" s="441">
        <v>30</v>
      </c>
      <c r="B40" s="373" t="s">
        <v>899</v>
      </c>
      <c r="C40" s="442">
        <f>'enrolment vs availed_PY'!C40</f>
        <v>169077</v>
      </c>
      <c r="D40" s="442">
        <f>'enrolment vs availed_PY'!D40</f>
        <v>149069</v>
      </c>
      <c r="E40" s="442">
        <f>'enrolment vs availed_PY'!E40</f>
        <v>0</v>
      </c>
      <c r="F40" s="442">
        <f>'enrolment vs availed_PY'!F40</f>
        <v>0</v>
      </c>
      <c r="G40" s="442">
        <f t="shared" si="8"/>
        <v>318146</v>
      </c>
      <c r="H40" s="443">
        <v>240</v>
      </c>
      <c r="I40" s="442">
        <f t="shared" si="0"/>
        <v>7635.504000000001</v>
      </c>
      <c r="J40" s="442">
        <f t="shared" si="1"/>
        <v>7635.504000000001</v>
      </c>
      <c r="K40" s="442"/>
      <c r="L40" s="442"/>
      <c r="M40" s="442">
        <f t="shared" si="2"/>
        <v>1527.1008</v>
      </c>
      <c r="N40" s="442">
        <f t="shared" si="9"/>
        <v>445.4044</v>
      </c>
      <c r="O40" s="442">
        <f t="shared" si="10"/>
        <v>445.4044</v>
      </c>
      <c r="P40" s="442">
        <f t="shared" si="11"/>
        <v>286.33140000000003</v>
      </c>
      <c r="Q40" s="442">
        <f t="shared" si="6"/>
        <v>127.25840000000001</v>
      </c>
      <c r="R40" s="442">
        <f t="shared" si="7"/>
        <v>222.7022</v>
      </c>
    </row>
    <row r="41" spans="1:18" ht="16.5">
      <c r="A41" s="441">
        <v>31</v>
      </c>
      <c r="B41" s="373" t="s">
        <v>900</v>
      </c>
      <c r="C41" s="442">
        <f>'enrolment vs availed_PY'!C41</f>
        <v>155760</v>
      </c>
      <c r="D41" s="442">
        <f>'enrolment vs availed_PY'!D41</f>
        <v>169539</v>
      </c>
      <c r="E41" s="442">
        <f>'enrolment vs availed_PY'!E41</f>
        <v>0</v>
      </c>
      <c r="F41" s="442">
        <f>'enrolment vs availed_PY'!F41</f>
        <v>0</v>
      </c>
      <c r="G41" s="442">
        <f t="shared" si="8"/>
        <v>325299</v>
      </c>
      <c r="H41" s="443">
        <v>240</v>
      </c>
      <c r="I41" s="442">
        <f t="shared" si="0"/>
        <v>7807.176</v>
      </c>
      <c r="J41" s="442">
        <f t="shared" si="1"/>
        <v>7807.176</v>
      </c>
      <c r="K41" s="442"/>
      <c r="L41" s="442"/>
      <c r="M41" s="442">
        <f t="shared" si="2"/>
        <v>1561.4352000000001</v>
      </c>
      <c r="N41" s="442">
        <f t="shared" si="9"/>
        <v>455.4186</v>
      </c>
      <c r="O41" s="442">
        <f t="shared" si="10"/>
        <v>455.4186</v>
      </c>
      <c r="P41" s="442">
        <f t="shared" si="11"/>
        <v>292.76910000000004</v>
      </c>
      <c r="Q41" s="442">
        <f t="shared" si="6"/>
        <v>130.11960000000002</v>
      </c>
      <c r="R41" s="442">
        <f t="shared" si="7"/>
        <v>227.7093</v>
      </c>
    </row>
    <row r="42" spans="1:18" ht="16.5">
      <c r="A42" s="441">
        <v>32</v>
      </c>
      <c r="B42" s="373" t="s">
        <v>901</v>
      </c>
      <c r="C42" s="442">
        <f>'enrolment vs availed_PY'!C42</f>
        <v>135589</v>
      </c>
      <c r="D42" s="442">
        <f>'enrolment vs availed_PY'!D42</f>
        <v>28460</v>
      </c>
      <c r="E42" s="442">
        <f>'enrolment vs availed_PY'!E42</f>
        <v>0</v>
      </c>
      <c r="F42" s="442">
        <f>'enrolment vs availed_PY'!F42</f>
        <v>0</v>
      </c>
      <c r="G42" s="442">
        <f t="shared" si="8"/>
        <v>164049</v>
      </c>
      <c r="H42" s="443">
        <v>240</v>
      </c>
      <c r="I42" s="442">
        <f t="shared" si="0"/>
        <v>3937.1760000000004</v>
      </c>
      <c r="J42" s="442">
        <f t="shared" si="1"/>
        <v>3937.1760000000004</v>
      </c>
      <c r="K42" s="442"/>
      <c r="L42" s="442"/>
      <c r="M42" s="442">
        <f t="shared" si="2"/>
        <v>787.4352</v>
      </c>
      <c r="N42" s="442">
        <f t="shared" si="9"/>
        <v>229.66860000000003</v>
      </c>
      <c r="O42" s="442">
        <f t="shared" si="10"/>
        <v>229.66860000000003</v>
      </c>
      <c r="P42" s="442">
        <f t="shared" si="11"/>
        <v>147.6441</v>
      </c>
      <c r="Q42" s="442">
        <f t="shared" si="6"/>
        <v>65.6196</v>
      </c>
      <c r="R42" s="442">
        <f t="shared" si="7"/>
        <v>114.83430000000001</v>
      </c>
    </row>
    <row r="43" spans="1:18" ht="16.5">
      <c r="A43" s="441">
        <v>33</v>
      </c>
      <c r="B43" s="373" t="s">
        <v>902</v>
      </c>
      <c r="C43" s="442">
        <f>'enrolment vs availed_PY'!C43</f>
        <v>41627</v>
      </c>
      <c r="D43" s="442">
        <f>'enrolment vs availed_PY'!D43</f>
        <v>15190</v>
      </c>
      <c r="E43" s="442">
        <f>'enrolment vs availed_PY'!E43</f>
        <v>0</v>
      </c>
      <c r="F43" s="442">
        <f>'enrolment vs availed_PY'!F43</f>
        <v>0</v>
      </c>
      <c r="G43" s="442">
        <f t="shared" si="8"/>
        <v>56817</v>
      </c>
      <c r="H43" s="443">
        <v>240</v>
      </c>
      <c r="I43" s="442">
        <f t="shared" si="0"/>
        <v>1363.6080000000002</v>
      </c>
      <c r="J43" s="442">
        <f t="shared" si="1"/>
        <v>1363.6080000000002</v>
      </c>
      <c r="K43" s="442"/>
      <c r="L43" s="442"/>
      <c r="M43" s="442">
        <f t="shared" si="2"/>
        <v>272.7216</v>
      </c>
      <c r="N43" s="442">
        <f t="shared" si="9"/>
        <v>79.5438</v>
      </c>
      <c r="O43" s="442">
        <f t="shared" si="10"/>
        <v>79.5438</v>
      </c>
      <c r="P43" s="442">
        <f t="shared" si="11"/>
        <v>51.1353</v>
      </c>
      <c r="Q43" s="442">
        <f t="shared" si="6"/>
        <v>22.7268</v>
      </c>
      <c r="R43" s="442">
        <f t="shared" si="7"/>
        <v>39.7719</v>
      </c>
    </row>
    <row r="44" spans="1:18" ht="16.5">
      <c r="A44" s="441">
        <v>34</v>
      </c>
      <c r="B44" s="373" t="s">
        <v>903</v>
      </c>
      <c r="C44" s="442">
        <f>'enrolment vs availed_PY'!C44</f>
        <v>63724</v>
      </c>
      <c r="D44" s="442">
        <f>'enrolment vs availed_PY'!D44</f>
        <v>17281</v>
      </c>
      <c r="E44" s="442">
        <f>'enrolment vs availed_PY'!E44</f>
        <v>0</v>
      </c>
      <c r="F44" s="442">
        <f>'enrolment vs availed_PY'!F44</f>
        <v>0</v>
      </c>
      <c r="G44" s="442">
        <f t="shared" si="8"/>
        <v>81005</v>
      </c>
      <c r="H44" s="443">
        <v>240</v>
      </c>
      <c r="I44" s="442">
        <f t="shared" si="0"/>
        <v>1944.1200000000001</v>
      </c>
      <c r="J44" s="442">
        <f t="shared" si="1"/>
        <v>1944.1200000000001</v>
      </c>
      <c r="K44" s="442"/>
      <c r="L44" s="442"/>
      <c r="M44" s="442">
        <f t="shared" si="2"/>
        <v>388.82400000000007</v>
      </c>
      <c r="N44" s="442">
        <f t="shared" si="9"/>
        <v>113.40700000000001</v>
      </c>
      <c r="O44" s="442">
        <f t="shared" si="10"/>
        <v>113.40700000000001</v>
      </c>
      <c r="P44" s="442">
        <f t="shared" si="11"/>
        <v>72.90450000000001</v>
      </c>
      <c r="Q44" s="442">
        <f t="shared" si="6"/>
        <v>32.402</v>
      </c>
      <c r="R44" s="442">
        <f t="shared" si="7"/>
        <v>56.703500000000005</v>
      </c>
    </row>
    <row r="45" spans="1:18" ht="16.5">
      <c r="A45" s="441">
        <v>35</v>
      </c>
      <c r="B45" s="373" t="s">
        <v>904</v>
      </c>
      <c r="C45" s="442">
        <f>'enrolment vs availed_PY'!C45</f>
        <v>150362</v>
      </c>
      <c r="D45" s="442">
        <f>'enrolment vs availed_PY'!D45</f>
        <v>31103</v>
      </c>
      <c r="E45" s="442">
        <f>'enrolment vs availed_PY'!E45</f>
        <v>0</v>
      </c>
      <c r="F45" s="442">
        <f>'enrolment vs availed_PY'!F45</f>
        <v>56</v>
      </c>
      <c r="G45" s="442">
        <f t="shared" si="8"/>
        <v>181521</v>
      </c>
      <c r="H45" s="443">
        <v>240</v>
      </c>
      <c r="I45" s="442">
        <f t="shared" si="0"/>
        <v>4356.504</v>
      </c>
      <c r="J45" s="442">
        <f t="shared" si="1"/>
        <v>4356.504</v>
      </c>
      <c r="K45" s="442"/>
      <c r="L45" s="442"/>
      <c r="M45" s="442">
        <f t="shared" si="2"/>
        <v>871.3008000000001</v>
      </c>
      <c r="N45" s="442">
        <f t="shared" si="9"/>
        <v>254.12940000000003</v>
      </c>
      <c r="O45" s="442">
        <f t="shared" si="10"/>
        <v>254.12940000000003</v>
      </c>
      <c r="P45" s="442">
        <f t="shared" si="11"/>
        <v>163.36890000000002</v>
      </c>
      <c r="Q45" s="442">
        <f t="shared" si="6"/>
        <v>72.6084</v>
      </c>
      <c r="R45" s="442">
        <f t="shared" si="7"/>
        <v>127.06470000000002</v>
      </c>
    </row>
    <row r="46" spans="1:18" ht="16.5">
      <c r="A46" s="441" t="s">
        <v>19</v>
      </c>
      <c r="B46" s="442"/>
      <c r="C46" s="442">
        <f>SUM(C11:C45)</f>
        <v>4317763</v>
      </c>
      <c r="D46" s="442">
        <f aca="true" t="shared" si="12" ref="D46:R46">SUM(D11:D45)</f>
        <v>2337000</v>
      </c>
      <c r="E46" s="442">
        <f t="shared" si="12"/>
        <v>2678</v>
      </c>
      <c r="F46" s="442">
        <f t="shared" si="12"/>
        <v>349</v>
      </c>
      <c r="G46" s="442">
        <f t="shared" si="12"/>
        <v>6657790</v>
      </c>
      <c r="H46" s="442">
        <v>240</v>
      </c>
      <c r="I46" s="573">
        <f t="shared" si="12"/>
        <v>159786.96</v>
      </c>
      <c r="J46" s="442">
        <f t="shared" si="12"/>
        <v>159786.96</v>
      </c>
      <c r="K46" s="442">
        <f t="shared" si="12"/>
        <v>0</v>
      </c>
      <c r="L46" s="442">
        <f t="shared" si="12"/>
        <v>0</v>
      </c>
      <c r="M46" s="442">
        <f t="shared" si="12"/>
        <v>31957.392000000007</v>
      </c>
      <c r="N46" s="442">
        <f t="shared" si="12"/>
        <v>9320.906</v>
      </c>
      <c r="O46" s="442">
        <f t="shared" si="12"/>
        <v>9320.906</v>
      </c>
      <c r="P46" s="442">
        <f t="shared" si="12"/>
        <v>5992.011</v>
      </c>
      <c r="Q46" s="442">
        <f t="shared" si="12"/>
        <v>2663.116</v>
      </c>
      <c r="R46" s="442">
        <f t="shared" si="12"/>
        <v>4660.453</v>
      </c>
    </row>
    <row r="47" spans="1:18" ht="16.5">
      <c r="A47" s="444"/>
      <c r="B47" s="444"/>
      <c r="C47" s="444"/>
      <c r="D47" s="444"/>
      <c r="E47" s="444"/>
      <c r="F47" s="444"/>
      <c r="G47" s="444"/>
      <c r="H47" s="444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6.5">
      <c r="A48" s="445" t="s">
        <v>8</v>
      </c>
      <c r="B48" s="446"/>
      <c r="C48" s="446"/>
      <c r="D48" s="444"/>
      <c r="E48" s="444"/>
      <c r="F48" s="444"/>
      <c r="G48" s="444"/>
      <c r="H48" s="444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6.5">
      <c r="A49" s="447" t="s">
        <v>9</v>
      </c>
      <c r="B49" s="447"/>
      <c r="C49" s="44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6.5">
      <c r="A50" s="447" t="s">
        <v>10</v>
      </c>
      <c r="B50" s="447"/>
      <c r="C50" s="44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1:18" ht="16.5">
      <c r="A51" s="447"/>
      <c r="B51" s="447"/>
      <c r="C51" s="44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</row>
    <row r="52" spans="1:18" ht="16.5" customHeight="1">
      <c r="A52" s="447"/>
      <c r="B52" s="447"/>
      <c r="C52" s="447"/>
      <c r="D52" s="748" t="s">
        <v>1021</v>
      </c>
      <c r="E52" s="748"/>
      <c r="F52" s="748"/>
      <c r="G52" s="748"/>
      <c r="H52" s="607"/>
      <c r="I52" s="607"/>
      <c r="J52" s="271"/>
      <c r="K52" s="271"/>
      <c r="L52" s="748" t="s">
        <v>1024</v>
      </c>
      <c r="M52" s="748"/>
      <c r="N52" s="748"/>
      <c r="O52" s="748"/>
      <c r="P52" s="437"/>
      <c r="Q52" s="437"/>
      <c r="R52" s="437"/>
    </row>
    <row r="53" spans="1:18" ht="16.5" customHeight="1">
      <c r="A53" s="447" t="s">
        <v>12</v>
      </c>
      <c r="B53" s="437"/>
      <c r="C53" s="437"/>
      <c r="D53" s="748" t="s">
        <v>1022</v>
      </c>
      <c r="E53" s="748"/>
      <c r="F53" s="748"/>
      <c r="G53" s="748"/>
      <c r="H53" s="607"/>
      <c r="I53" s="607"/>
      <c r="J53" s="271"/>
      <c r="K53" s="271"/>
      <c r="L53" s="748" t="s">
        <v>1025</v>
      </c>
      <c r="M53" s="748"/>
      <c r="N53" s="748"/>
      <c r="O53" s="748"/>
      <c r="P53" s="447"/>
      <c r="Q53" s="447"/>
      <c r="R53" s="447"/>
    </row>
    <row r="54" spans="1:18" ht="12.75" customHeight="1">
      <c r="A54" s="437"/>
      <c r="B54" s="437"/>
      <c r="C54" s="437"/>
      <c r="D54" s="735" t="s">
        <v>1023</v>
      </c>
      <c r="E54" s="735"/>
      <c r="F54" s="735"/>
      <c r="G54" s="735"/>
      <c r="H54" s="607"/>
      <c r="I54" s="607"/>
      <c r="J54" s="271"/>
      <c r="K54" s="271"/>
      <c r="L54" s="735" t="s">
        <v>1023</v>
      </c>
      <c r="M54" s="735"/>
      <c r="N54" s="735"/>
      <c r="O54" s="735"/>
      <c r="P54" s="600"/>
      <c r="Q54" s="600"/>
      <c r="R54" s="600"/>
    </row>
    <row r="55" spans="1:18" ht="12.75" customHeight="1">
      <c r="A55" s="437"/>
      <c r="B55" s="437"/>
      <c r="C55" s="437"/>
      <c r="D55"/>
      <c r="E55"/>
      <c r="F55"/>
      <c r="G55"/>
      <c r="H55"/>
      <c r="I55"/>
      <c r="J55" s="600"/>
      <c r="K55" s="600"/>
      <c r="L55" s="600"/>
      <c r="M55" s="600"/>
      <c r="N55" s="600"/>
      <c r="O55" s="600"/>
      <c r="P55" s="600"/>
      <c r="Q55" s="600"/>
      <c r="R55" s="600"/>
    </row>
    <row r="56" spans="1:18" ht="16.5">
      <c r="A56" s="447"/>
      <c r="B56" s="447"/>
      <c r="C56" s="437"/>
      <c r="D56" s="437"/>
      <c r="E56" s="437"/>
      <c r="F56" s="437"/>
      <c r="G56" s="437"/>
      <c r="H56" s="437"/>
      <c r="I56" s="437"/>
      <c r="J56" s="447"/>
      <c r="K56" s="447"/>
      <c r="L56" s="447"/>
      <c r="M56" s="447"/>
      <c r="N56" s="447"/>
      <c r="O56" s="447"/>
      <c r="P56" s="447"/>
      <c r="Q56" s="447"/>
      <c r="R56" s="447"/>
    </row>
    <row r="58" spans="1:18" ht="12.75">
      <c r="A58" s="1021"/>
      <c r="B58" s="1021"/>
      <c r="C58" s="1021"/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  <c r="O58" s="1021"/>
      <c r="P58" s="1021"/>
      <c r="Q58" s="1021"/>
      <c r="R58" s="1021"/>
    </row>
  </sheetData>
  <sheetProtection/>
  <mergeCells count="20">
    <mergeCell ref="G1:I1"/>
    <mergeCell ref="A6:R6"/>
    <mergeCell ref="Q1:R1"/>
    <mergeCell ref="A58:R58"/>
    <mergeCell ref="L7:R7"/>
    <mergeCell ref="A8:A9"/>
    <mergeCell ref="B8:B9"/>
    <mergeCell ref="C8:G8"/>
    <mergeCell ref="H8:H9"/>
    <mergeCell ref="I8:L8"/>
    <mergeCell ref="D53:G53"/>
    <mergeCell ref="L53:O53"/>
    <mergeCell ref="D54:G54"/>
    <mergeCell ref="L54:O54"/>
    <mergeCell ref="A4:R5"/>
    <mergeCell ref="A2:R2"/>
    <mergeCell ref="A3:R3"/>
    <mergeCell ref="M8:R8"/>
    <mergeCell ref="D52:G52"/>
    <mergeCell ref="L52:O52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60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view="pageBreakPreview" zoomScaleNormal="70" zoomScaleSheetLayoutView="100" zoomScalePageLayoutView="0" workbookViewId="0" topLeftCell="A1">
      <selection activeCell="E52" sqref="E52:P54"/>
    </sheetView>
  </sheetViews>
  <sheetFormatPr defaultColWidth="9.140625" defaultRowHeight="12.75"/>
  <cols>
    <col min="1" max="1" width="5.57421875" style="271" customWidth="1"/>
    <col min="2" max="2" width="12.00390625" style="271" customWidth="1"/>
    <col min="3" max="3" width="10.28125" style="271" customWidth="1"/>
    <col min="4" max="4" width="10.7109375" style="271" customWidth="1"/>
    <col min="5" max="5" width="11.28125" style="271" customWidth="1"/>
    <col min="6" max="6" width="9.8515625" style="271" customWidth="1"/>
    <col min="7" max="7" width="11.8515625" style="271" customWidth="1"/>
    <col min="8" max="8" width="12.8515625" style="271" customWidth="1"/>
    <col min="9" max="9" width="12.57421875" style="253" customWidth="1"/>
    <col min="10" max="10" width="8.8515625" style="253" customWidth="1"/>
    <col min="11" max="12" width="8.7109375" style="253" customWidth="1"/>
    <col min="13" max="13" width="8.140625" style="253" customWidth="1"/>
    <col min="14" max="14" width="10.421875" style="253" customWidth="1"/>
    <col min="15" max="15" width="10.8515625" style="253" customWidth="1"/>
    <col min="16" max="16" width="10.57421875" style="253" customWidth="1"/>
    <col min="17" max="17" width="11.28125" style="253" customWidth="1"/>
    <col min="18" max="18" width="11.00390625" style="253" customWidth="1"/>
    <col min="19" max="16384" width="9.140625" style="253" customWidth="1"/>
  </cols>
  <sheetData>
    <row r="1" spans="7:18" ht="12.75" customHeight="1">
      <c r="G1" s="1032"/>
      <c r="H1" s="1032"/>
      <c r="I1" s="1032"/>
      <c r="J1" s="271"/>
      <c r="K1" s="271"/>
      <c r="L1" s="271"/>
      <c r="M1" s="271"/>
      <c r="N1" s="271"/>
      <c r="O1" s="271"/>
      <c r="P1" s="271"/>
      <c r="Q1" s="1031" t="s">
        <v>554</v>
      </c>
      <c r="R1" s="1031"/>
    </row>
    <row r="2" spans="1:18" ht="15.75">
      <c r="A2" s="1033" t="s">
        <v>0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  <c r="O2" s="1033"/>
      <c r="P2" s="1033"/>
      <c r="Q2" s="1033"/>
      <c r="R2" s="1033"/>
    </row>
    <row r="3" spans="1:18" ht="18">
      <c r="A3" s="1029" t="s">
        <v>656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</row>
    <row r="4" spans="1:18" ht="12.75" customHeight="1">
      <c r="A4" s="1030" t="s">
        <v>738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  <c r="O4" s="1030"/>
      <c r="P4" s="1030"/>
      <c r="Q4" s="1030"/>
      <c r="R4" s="1030"/>
    </row>
    <row r="5" spans="1:18" s="254" customFormat="1" ht="7.5" customHeight="1">
      <c r="A5" s="1030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  <c r="O5" s="1030"/>
      <c r="P5" s="1030"/>
      <c r="Q5" s="1030"/>
      <c r="R5" s="1030"/>
    </row>
    <row r="6" spans="1:18" ht="16.5">
      <c r="A6" s="1019"/>
      <c r="B6" s="1019"/>
      <c r="C6" s="1019"/>
      <c r="D6" s="1019"/>
      <c r="E6" s="1019"/>
      <c r="F6" s="1019"/>
      <c r="G6" s="1019"/>
      <c r="H6" s="1019"/>
      <c r="I6" s="1019"/>
      <c r="J6" s="1019"/>
      <c r="K6" s="1019"/>
      <c r="L6" s="1019"/>
      <c r="M6" s="1019"/>
      <c r="N6" s="1019"/>
      <c r="O6" s="1019"/>
      <c r="P6" s="1019"/>
      <c r="Q6" s="1019"/>
      <c r="R6" s="1019"/>
    </row>
    <row r="7" spans="1:18" ht="16.5">
      <c r="A7" s="208" t="s">
        <v>1020</v>
      </c>
      <c r="B7" s="208"/>
      <c r="C7" s="209"/>
      <c r="D7" s="437"/>
      <c r="E7" s="437"/>
      <c r="F7" s="437"/>
      <c r="G7" s="437"/>
      <c r="H7" s="438"/>
      <c r="I7" s="437"/>
      <c r="J7" s="437"/>
      <c r="K7" s="437"/>
      <c r="L7" s="1022"/>
      <c r="M7" s="1022"/>
      <c r="N7" s="1022"/>
      <c r="O7" s="1022"/>
      <c r="P7" s="1022"/>
      <c r="Q7" s="1022"/>
      <c r="R7" s="1022"/>
    </row>
    <row r="8" spans="1:18" ht="51" customHeight="1">
      <c r="A8" s="1023" t="s">
        <v>2</v>
      </c>
      <c r="B8" s="1023" t="s">
        <v>3</v>
      </c>
      <c r="C8" s="1024" t="s">
        <v>505</v>
      </c>
      <c r="D8" s="1025"/>
      <c r="E8" s="1025"/>
      <c r="F8" s="1025"/>
      <c r="G8" s="1026"/>
      <c r="H8" s="1027" t="s">
        <v>85</v>
      </c>
      <c r="I8" s="1024" t="s">
        <v>86</v>
      </c>
      <c r="J8" s="1025"/>
      <c r="K8" s="1025"/>
      <c r="L8" s="1026"/>
      <c r="M8" s="1024" t="s">
        <v>735</v>
      </c>
      <c r="N8" s="1025"/>
      <c r="O8" s="1025"/>
      <c r="P8" s="1025"/>
      <c r="Q8" s="1025"/>
      <c r="R8" s="1025"/>
    </row>
    <row r="9" spans="1:18" ht="66" customHeight="1">
      <c r="A9" s="1023"/>
      <c r="B9" s="1023"/>
      <c r="C9" s="439" t="s">
        <v>5</v>
      </c>
      <c r="D9" s="439" t="s">
        <v>6</v>
      </c>
      <c r="E9" s="439" t="s">
        <v>369</v>
      </c>
      <c r="F9" s="440" t="s">
        <v>100</v>
      </c>
      <c r="G9" s="440" t="s">
        <v>232</v>
      </c>
      <c r="H9" s="1028"/>
      <c r="I9" s="439" t="s">
        <v>90</v>
      </c>
      <c r="J9" s="439" t="s">
        <v>21</v>
      </c>
      <c r="K9" s="439" t="s">
        <v>42</v>
      </c>
      <c r="L9" s="439" t="s">
        <v>836</v>
      </c>
      <c r="M9" s="439" t="s">
        <v>19</v>
      </c>
      <c r="N9" s="439" t="s">
        <v>914</v>
      </c>
      <c r="O9" s="439" t="s">
        <v>915</v>
      </c>
      <c r="P9" s="439" t="s">
        <v>967</v>
      </c>
      <c r="Q9" s="439" t="s">
        <v>966</v>
      </c>
      <c r="R9" s="439" t="s">
        <v>965</v>
      </c>
    </row>
    <row r="10" spans="1:18" s="255" customFormat="1" ht="16.5">
      <c r="A10" s="439">
        <v>1</v>
      </c>
      <c r="B10" s="439">
        <v>2</v>
      </c>
      <c r="C10" s="439">
        <v>3</v>
      </c>
      <c r="D10" s="439">
        <v>4</v>
      </c>
      <c r="E10" s="439">
        <v>5</v>
      </c>
      <c r="F10" s="439">
        <v>6</v>
      </c>
      <c r="G10" s="439">
        <v>7</v>
      </c>
      <c r="H10" s="439">
        <v>8</v>
      </c>
      <c r="I10" s="439">
        <v>9</v>
      </c>
      <c r="J10" s="439">
        <v>10</v>
      </c>
      <c r="K10" s="439">
        <v>11</v>
      </c>
      <c r="L10" s="439">
        <v>12</v>
      </c>
      <c r="M10" s="439">
        <v>13</v>
      </c>
      <c r="N10" s="439">
        <v>14</v>
      </c>
      <c r="O10" s="439">
        <v>15</v>
      </c>
      <c r="P10" s="439">
        <v>16</v>
      </c>
      <c r="Q10" s="439">
        <v>17</v>
      </c>
      <c r="R10" s="439">
        <v>18</v>
      </c>
    </row>
    <row r="11" spans="1:18" ht="16.5">
      <c r="A11" s="441">
        <v>1</v>
      </c>
      <c r="B11" s="373" t="s">
        <v>870</v>
      </c>
      <c r="C11" s="442">
        <f>'enrolment vs availed_UPY'!C11</f>
        <v>25120</v>
      </c>
      <c r="D11" s="442">
        <f>'enrolment vs availed_UPY'!D11</f>
        <v>180035</v>
      </c>
      <c r="E11" s="442">
        <f>'enrolment vs availed_UPY'!E11</f>
        <v>0</v>
      </c>
      <c r="F11" s="442">
        <f>'enrolment vs availed_UPY'!F11</f>
        <v>0</v>
      </c>
      <c r="G11" s="442">
        <f>C11+D11+E11+F11</f>
        <v>205155</v>
      </c>
      <c r="H11" s="443">
        <v>240</v>
      </c>
      <c r="I11" s="442">
        <f>J11</f>
        <v>7385.579999999999</v>
      </c>
      <c r="J11" s="442">
        <f>G11*H11*0.00015</f>
        <v>7385.579999999999</v>
      </c>
      <c r="K11" s="442"/>
      <c r="L11" s="442"/>
      <c r="M11" s="442">
        <f>N11+O11+P11+Q11+R11</f>
        <v>1477.1160000000002</v>
      </c>
      <c r="N11" s="442">
        <f>G11*70*0.00003</f>
        <v>430.82550000000003</v>
      </c>
      <c r="O11" s="442">
        <f>G11*70*0.00003</f>
        <v>430.82550000000003</v>
      </c>
      <c r="P11" s="442">
        <f>G11*45*0.00003</f>
        <v>276.95925</v>
      </c>
      <c r="Q11" s="442">
        <f>G11*20*0.00003</f>
        <v>123.093</v>
      </c>
      <c r="R11" s="442">
        <f>G11*35*0.00003</f>
        <v>215.41275000000002</v>
      </c>
    </row>
    <row r="12" spans="1:18" ht="16.5">
      <c r="A12" s="441">
        <v>2</v>
      </c>
      <c r="B12" s="373" t="s">
        <v>871</v>
      </c>
      <c r="C12" s="442">
        <f>'enrolment vs availed_UPY'!C12</f>
        <v>19239</v>
      </c>
      <c r="D12" s="442">
        <f>'enrolment vs availed_UPY'!D12</f>
        <v>50663</v>
      </c>
      <c r="E12" s="442">
        <f>'enrolment vs availed_UPY'!E12</f>
        <v>0</v>
      </c>
      <c r="F12" s="442">
        <f>'enrolment vs availed_UPY'!F12</f>
        <v>0</v>
      </c>
      <c r="G12" s="442">
        <f aca="true" t="shared" si="0" ref="G12:G45">C12+D12+E12+F12</f>
        <v>69902</v>
      </c>
      <c r="H12" s="443">
        <v>240</v>
      </c>
      <c r="I12" s="442">
        <f aca="true" t="shared" si="1" ref="I12:I45">J12</f>
        <v>2516.4719999999998</v>
      </c>
      <c r="J12" s="442">
        <f aca="true" t="shared" si="2" ref="J12:J45">G12*H12*0.00015</f>
        <v>2516.4719999999998</v>
      </c>
      <c r="K12" s="442"/>
      <c r="L12" s="442"/>
      <c r="M12" s="442">
        <f aca="true" t="shared" si="3" ref="M12:M45">N12+O12+P12+Q12+R12</f>
        <v>503.29440000000005</v>
      </c>
      <c r="N12" s="442">
        <f aca="true" t="shared" si="4" ref="N12:N45">G12*70*0.00003</f>
        <v>146.79420000000002</v>
      </c>
      <c r="O12" s="442">
        <f aca="true" t="shared" si="5" ref="O12:O45">G12*70*0.00003</f>
        <v>146.79420000000002</v>
      </c>
      <c r="P12" s="442">
        <f aca="true" t="shared" si="6" ref="P12:P45">G12*45*0.00003</f>
        <v>94.3677</v>
      </c>
      <c r="Q12" s="442">
        <f aca="true" t="shared" si="7" ref="Q12:Q45">G12*20*0.00003</f>
        <v>41.9412</v>
      </c>
      <c r="R12" s="442">
        <f aca="true" t="shared" si="8" ref="R12:R46">G12*35*0.00003</f>
        <v>73.39710000000001</v>
      </c>
    </row>
    <row r="13" spans="1:18" ht="16.5">
      <c r="A13" s="441">
        <v>3</v>
      </c>
      <c r="B13" s="373" t="s">
        <v>872</v>
      </c>
      <c r="C13" s="442">
        <f>'enrolment vs availed_UPY'!C13</f>
        <v>34930</v>
      </c>
      <c r="D13" s="442">
        <f>'enrolment vs availed_UPY'!D13</f>
        <v>75509</v>
      </c>
      <c r="E13" s="442">
        <f>'enrolment vs availed_UPY'!E13</f>
        <v>0</v>
      </c>
      <c r="F13" s="442">
        <f>'enrolment vs availed_UPY'!F13</f>
        <v>0</v>
      </c>
      <c r="G13" s="442">
        <f t="shared" si="0"/>
        <v>110439</v>
      </c>
      <c r="H13" s="443">
        <v>240</v>
      </c>
      <c r="I13" s="442">
        <f t="shared" si="1"/>
        <v>3975.8039999999996</v>
      </c>
      <c r="J13" s="442">
        <f t="shared" si="2"/>
        <v>3975.8039999999996</v>
      </c>
      <c r="K13" s="442">
        <v>0</v>
      </c>
      <c r="L13" s="442">
        <v>0</v>
      </c>
      <c r="M13" s="442">
        <f t="shared" si="3"/>
        <v>795.1608</v>
      </c>
      <c r="N13" s="442">
        <f t="shared" si="4"/>
        <v>231.9219</v>
      </c>
      <c r="O13" s="442">
        <f t="shared" si="5"/>
        <v>231.9219</v>
      </c>
      <c r="P13" s="442">
        <f t="shared" si="6"/>
        <v>149.09265</v>
      </c>
      <c r="Q13" s="442">
        <f t="shared" si="7"/>
        <v>66.2634</v>
      </c>
      <c r="R13" s="442">
        <f t="shared" si="8"/>
        <v>115.96095</v>
      </c>
    </row>
    <row r="14" spans="1:18" ht="16.5">
      <c r="A14" s="441">
        <v>4</v>
      </c>
      <c r="B14" s="373" t="s">
        <v>873</v>
      </c>
      <c r="C14" s="442">
        <f>'enrolment vs availed_UPY'!C14</f>
        <v>69994</v>
      </c>
      <c r="D14" s="442">
        <f>'enrolment vs availed_UPY'!D14</f>
        <v>114437</v>
      </c>
      <c r="E14" s="442">
        <f>'enrolment vs availed_UPY'!E14</f>
        <v>0</v>
      </c>
      <c r="F14" s="442">
        <f>'enrolment vs availed_UPY'!F14</f>
        <v>0</v>
      </c>
      <c r="G14" s="442">
        <f t="shared" si="0"/>
        <v>184431</v>
      </c>
      <c r="H14" s="443">
        <v>240</v>
      </c>
      <c r="I14" s="442">
        <f t="shared" si="1"/>
        <v>6639.516</v>
      </c>
      <c r="J14" s="442">
        <f t="shared" si="2"/>
        <v>6639.516</v>
      </c>
      <c r="K14" s="442"/>
      <c r="L14" s="442"/>
      <c r="M14" s="442">
        <f t="shared" si="3"/>
        <v>1327.9032</v>
      </c>
      <c r="N14" s="442">
        <f t="shared" si="4"/>
        <v>387.3051</v>
      </c>
      <c r="O14" s="442">
        <f t="shared" si="5"/>
        <v>387.3051</v>
      </c>
      <c r="P14" s="442">
        <f t="shared" si="6"/>
        <v>248.98185</v>
      </c>
      <c r="Q14" s="442">
        <f t="shared" si="7"/>
        <v>110.6586</v>
      </c>
      <c r="R14" s="442">
        <f t="shared" si="8"/>
        <v>193.65255</v>
      </c>
    </row>
    <row r="15" spans="1:18" ht="16.5">
      <c r="A15" s="441">
        <v>5</v>
      </c>
      <c r="B15" s="373" t="s">
        <v>874</v>
      </c>
      <c r="C15" s="442">
        <f>'enrolment vs availed_UPY'!C15</f>
        <v>38784</v>
      </c>
      <c r="D15" s="442">
        <f>'enrolment vs availed_UPY'!D15</f>
        <v>101203</v>
      </c>
      <c r="E15" s="442">
        <f>'enrolment vs availed_UPY'!E15</f>
        <v>0</v>
      </c>
      <c r="F15" s="442">
        <f>'enrolment vs availed_UPY'!F15</f>
        <v>0</v>
      </c>
      <c r="G15" s="442">
        <f t="shared" si="0"/>
        <v>139987</v>
      </c>
      <c r="H15" s="443">
        <v>240</v>
      </c>
      <c r="I15" s="442">
        <f t="shared" si="1"/>
        <v>5039.531999999999</v>
      </c>
      <c r="J15" s="442">
        <f t="shared" si="2"/>
        <v>5039.531999999999</v>
      </c>
      <c r="K15" s="442"/>
      <c r="L15" s="442"/>
      <c r="M15" s="442">
        <f t="shared" si="3"/>
        <v>1007.9064000000001</v>
      </c>
      <c r="N15" s="442">
        <f t="shared" si="4"/>
        <v>293.97270000000003</v>
      </c>
      <c r="O15" s="442">
        <f t="shared" si="5"/>
        <v>293.97270000000003</v>
      </c>
      <c r="P15" s="442">
        <f t="shared" si="6"/>
        <v>188.98245</v>
      </c>
      <c r="Q15" s="442">
        <f t="shared" si="7"/>
        <v>83.9922</v>
      </c>
      <c r="R15" s="442">
        <f t="shared" si="8"/>
        <v>146.98635000000002</v>
      </c>
    </row>
    <row r="16" spans="1:18" ht="16.5">
      <c r="A16" s="441">
        <v>6</v>
      </c>
      <c r="B16" s="373" t="s">
        <v>875</v>
      </c>
      <c r="C16" s="442">
        <f>'enrolment vs availed_UPY'!C16</f>
        <v>16717</v>
      </c>
      <c r="D16" s="442">
        <f>'enrolment vs availed_UPY'!D16</f>
        <v>31288</v>
      </c>
      <c r="E16" s="442">
        <f>'enrolment vs availed_UPY'!E16</f>
        <v>0</v>
      </c>
      <c r="F16" s="442">
        <f>'enrolment vs availed_UPY'!F16</f>
        <v>0</v>
      </c>
      <c r="G16" s="442">
        <f t="shared" si="0"/>
        <v>48005</v>
      </c>
      <c r="H16" s="443">
        <v>240</v>
      </c>
      <c r="I16" s="442">
        <f t="shared" si="1"/>
        <v>1728.1799999999998</v>
      </c>
      <c r="J16" s="442">
        <f t="shared" si="2"/>
        <v>1728.1799999999998</v>
      </c>
      <c r="K16" s="442"/>
      <c r="L16" s="442"/>
      <c r="M16" s="442">
        <f t="shared" si="3"/>
        <v>345.636</v>
      </c>
      <c r="N16" s="442">
        <f t="shared" si="4"/>
        <v>100.8105</v>
      </c>
      <c r="O16" s="442">
        <f t="shared" si="5"/>
        <v>100.8105</v>
      </c>
      <c r="P16" s="442">
        <f t="shared" si="6"/>
        <v>64.80675000000001</v>
      </c>
      <c r="Q16" s="442">
        <f t="shared" si="7"/>
        <v>28.803</v>
      </c>
      <c r="R16" s="442">
        <f t="shared" si="8"/>
        <v>50.40525</v>
      </c>
    </row>
    <row r="17" spans="1:18" ht="16.5">
      <c r="A17" s="441">
        <v>7</v>
      </c>
      <c r="B17" s="373" t="s">
        <v>876</v>
      </c>
      <c r="C17" s="442">
        <f>'enrolment vs availed_UPY'!C17</f>
        <v>42705</v>
      </c>
      <c r="D17" s="442">
        <f>'enrolment vs availed_UPY'!D17</f>
        <v>72811</v>
      </c>
      <c r="E17" s="442">
        <f>'enrolment vs availed_UPY'!E17</f>
        <v>0</v>
      </c>
      <c r="F17" s="442">
        <f>'enrolment vs availed_UPY'!F17</f>
        <v>0</v>
      </c>
      <c r="G17" s="442">
        <f t="shared" si="0"/>
        <v>115516</v>
      </c>
      <c r="H17" s="443">
        <v>240</v>
      </c>
      <c r="I17" s="442">
        <f t="shared" si="1"/>
        <v>4158.576</v>
      </c>
      <c r="J17" s="442">
        <f t="shared" si="2"/>
        <v>4158.576</v>
      </c>
      <c r="K17" s="442"/>
      <c r="L17" s="442"/>
      <c r="M17" s="442">
        <f t="shared" si="3"/>
        <v>831.7152000000001</v>
      </c>
      <c r="N17" s="442">
        <f t="shared" si="4"/>
        <v>242.58360000000002</v>
      </c>
      <c r="O17" s="442">
        <f t="shared" si="5"/>
        <v>242.58360000000002</v>
      </c>
      <c r="P17" s="442">
        <f t="shared" si="6"/>
        <v>155.94660000000002</v>
      </c>
      <c r="Q17" s="442">
        <f t="shared" si="7"/>
        <v>69.3096</v>
      </c>
      <c r="R17" s="442">
        <f t="shared" si="8"/>
        <v>121.29180000000001</v>
      </c>
    </row>
    <row r="18" spans="1:18" ht="16.5">
      <c r="A18" s="441">
        <v>8</v>
      </c>
      <c r="B18" s="373" t="s">
        <v>877</v>
      </c>
      <c r="C18" s="442">
        <f>'enrolment vs availed_UPY'!C18</f>
        <v>24042</v>
      </c>
      <c r="D18" s="442">
        <f>'enrolment vs availed_UPY'!D18</f>
        <v>50234</v>
      </c>
      <c r="E18" s="442">
        <f>'enrolment vs availed_UPY'!E18</f>
        <v>0</v>
      </c>
      <c r="F18" s="442">
        <f>'enrolment vs availed_UPY'!F18</f>
        <v>0</v>
      </c>
      <c r="G18" s="442">
        <f t="shared" si="0"/>
        <v>74276</v>
      </c>
      <c r="H18" s="443">
        <v>240</v>
      </c>
      <c r="I18" s="442">
        <f t="shared" si="1"/>
        <v>2673.9359999999997</v>
      </c>
      <c r="J18" s="442">
        <f t="shared" si="2"/>
        <v>2673.9359999999997</v>
      </c>
      <c r="K18" s="442"/>
      <c r="L18" s="442"/>
      <c r="M18" s="442">
        <f t="shared" si="3"/>
        <v>534.7872</v>
      </c>
      <c r="N18" s="442">
        <f t="shared" si="4"/>
        <v>155.9796</v>
      </c>
      <c r="O18" s="442">
        <f t="shared" si="5"/>
        <v>155.9796</v>
      </c>
      <c r="P18" s="442">
        <f t="shared" si="6"/>
        <v>100.2726</v>
      </c>
      <c r="Q18" s="442">
        <f t="shared" si="7"/>
        <v>44.5656</v>
      </c>
      <c r="R18" s="442">
        <f t="shared" si="8"/>
        <v>77.9898</v>
      </c>
    </row>
    <row r="19" spans="1:18" ht="16.5">
      <c r="A19" s="441">
        <v>9</v>
      </c>
      <c r="B19" s="373" t="s">
        <v>878</v>
      </c>
      <c r="C19" s="442">
        <f>'enrolment vs availed_UPY'!C19</f>
        <v>18780</v>
      </c>
      <c r="D19" s="442">
        <f>'enrolment vs availed_UPY'!D19</f>
        <v>79386</v>
      </c>
      <c r="E19" s="442">
        <f>'enrolment vs availed_UPY'!E19</f>
        <v>752</v>
      </c>
      <c r="F19" s="442">
        <f>'enrolment vs availed_UPY'!F19</f>
        <v>0</v>
      </c>
      <c r="G19" s="442">
        <f t="shared" si="0"/>
        <v>98918</v>
      </c>
      <c r="H19" s="443">
        <v>240</v>
      </c>
      <c r="I19" s="442">
        <f t="shared" si="1"/>
        <v>3561.048</v>
      </c>
      <c r="J19" s="442">
        <f t="shared" si="2"/>
        <v>3561.048</v>
      </c>
      <c r="K19" s="442"/>
      <c r="L19" s="442"/>
      <c r="M19" s="442">
        <f t="shared" si="3"/>
        <v>712.2096000000001</v>
      </c>
      <c r="N19" s="442">
        <f t="shared" si="4"/>
        <v>207.7278</v>
      </c>
      <c r="O19" s="442">
        <f t="shared" si="5"/>
        <v>207.7278</v>
      </c>
      <c r="P19" s="442">
        <f t="shared" si="6"/>
        <v>133.5393</v>
      </c>
      <c r="Q19" s="442">
        <f t="shared" si="7"/>
        <v>59.3508</v>
      </c>
      <c r="R19" s="442">
        <f t="shared" si="8"/>
        <v>103.8639</v>
      </c>
    </row>
    <row r="20" spans="1:18" ht="16.5">
      <c r="A20" s="441">
        <v>10</v>
      </c>
      <c r="B20" s="373" t="s">
        <v>879</v>
      </c>
      <c r="C20" s="442">
        <f>'enrolment vs availed_UPY'!C20</f>
        <v>14984</v>
      </c>
      <c r="D20" s="442">
        <f>'enrolment vs availed_UPY'!D20</f>
        <v>21866</v>
      </c>
      <c r="E20" s="442">
        <f>'enrolment vs availed_UPY'!E20</f>
        <v>0</v>
      </c>
      <c r="F20" s="442">
        <f>'enrolment vs availed_UPY'!F20</f>
        <v>20</v>
      </c>
      <c r="G20" s="442">
        <f t="shared" si="0"/>
        <v>36870</v>
      </c>
      <c r="H20" s="443">
        <v>240</v>
      </c>
      <c r="I20" s="442">
        <f t="shared" si="1"/>
        <v>1327.32</v>
      </c>
      <c r="J20" s="442">
        <f t="shared" si="2"/>
        <v>1327.32</v>
      </c>
      <c r="K20" s="442"/>
      <c r="L20" s="442"/>
      <c r="M20" s="442">
        <f t="shared" si="3"/>
        <v>265.46400000000006</v>
      </c>
      <c r="N20" s="442">
        <f t="shared" si="4"/>
        <v>77.427</v>
      </c>
      <c r="O20" s="442">
        <f t="shared" si="5"/>
        <v>77.427</v>
      </c>
      <c r="P20" s="442">
        <f t="shared" si="6"/>
        <v>49.7745</v>
      </c>
      <c r="Q20" s="442">
        <f t="shared" si="7"/>
        <v>22.122</v>
      </c>
      <c r="R20" s="442">
        <f t="shared" si="8"/>
        <v>38.7135</v>
      </c>
    </row>
    <row r="21" spans="1:18" ht="16.5">
      <c r="A21" s="441">
        <v>11</v>
      </c>
      <c r="B21" s="373" t="s">
        <v>880</v>
      </c>
      <c r="C21" s="442">
        <f>'enrolment vs availed_UPY'!C21</f>
        <v>27159</v>
      </c>
      <c r="D21" s="442">
        <f>'enrolment vs availed_UPY'!D21</f>
        <v>24776</v>
      </c>
      <c r="E21" s="442">
        <f>'enrolment vs availed_UPY'!E21</f>
        <v>0</v>
      </c>
      <c r="F21" s="442">
        <f>'enrolment vs availed_UPY'!F21</f>
        <v>0</v>
      </c>
      <c r="G21" s="442">
        <f t="shared" si="0"/>
        <v>51935</v>
      </c>
      <c r="H21" s="443">
        <v>240</v>
      </c>
      <c r="I21" s="442">
        <f t="shared" si="1"/>
        <v>1869.6599999999999</v>
      </c>
      <c r="J21" s="442">
        <f t="shared" si="2"/>
        <v>1869.6599999999999</v>
      </c>
      <c r="K21" s="442"/>
      <c r="L21" s="442"/>
      <c r="M21" s="442">
        <f t="shared" si="3"/>
        <v>373.932</v>
      </c>
      <c r="N21" s="442">
        <f t="shared" si="4"/>
        <v>109.0635</v>
      </c>
      <c r="O21" s="442">
        <f t="shared" si="5"/>
        <v>109.0635</v>
      </c>
      <c r="P21" s="442">
        <f t="shared" si="6"/>
        <v>70.11225</v>
      </c>
      <c r="Q21" s="442">
        <f t="shared" si="7"/>
        <v>31.161</v>
      </c>
      <c r="R21" s="442">
        <f t="shared" si="8"/>
        <v>54.53175</v>
      </c>
    </row>
    <row r="22" spans="1:18" ht="16.5">
      <c r="A22" s="441">
        <v>12</v>
      </c>
      <c r="B22" s="373" t="s">
        <v>881</v>
      </c>
      <c r="C22" s="442">
        <f>'enrolment vs availed_UPY'!C22</f>
        <v>29402</v>
      </c>
      <c r="D22" s="442">
        <f>'enrolment vs availed_UPY'!D22</f>
        <v>28779</v>
      </c>
      <c r="E22" s="442">
        <f>'enrolment vs availed_UPY'!E22</f>
        <v>0</v>
      </c>
      <c r="F22" s="442">
        <f>'enrolment vs availed_UPY'!F22</f>
        <v>0</v>
      </c>
      <c r="G22" s="442">
        <f t="shared" si="0"/>
        <v>58181</v>
      </c>
      <c r="H22" s="443">
        <v>240</v>
      </c>
      <c r="I22" s="442">
        <f t="shared" si="1"/>
        <v>2094.5159999999996</v>
      </c>
      <c r="J22" s="442">
        <f t="shared" si="2"/>
        <v>2094.5159999999996</v>
      </c>
      <c r="K22" s="442"/>
      <c r="L22" s="442"/>
      <c r="M22" s="442">
        <f t="shared" si="3"/>
        <v>418.9032</v>
      </c>
      <c r="N22" s="442">
        <f t="shared" si="4"/>
        <v>122.18010000000001</v>
      </c>
      <c r="O22" s="442">
        <f t="shared" si="5"/>
        <v>122.18010000000001</v>
      </c>
      <c r="P22" s="442">
        <f t="shared" si="6"/>
        <v>78.54435000000001</v>
      </c>
      <c r="Q22" s="442">
        <f t="shared" si="7"/>
        <v>34.9086</v>
      </c>
      <c r="R22" s="442">
        <f t="shared" si="8"/>
        <v>61.090050000000005</v>
      </c>
    </row>
    <row r="23" spans="1:18" ht="16.5">
      <c r="A23" s="441">
        <v>13</v>
      </c>
      <c r="B23" s="373" t="s">
        <v>882</v>
      </c>
      <c r="C23" s="442">
        <f>'enrolment vs availed_UPY'!C23</f>
        <v>36001</v>
      </c>
      <c r="D23" s="442">
        <f>'enrolment vs availed_UPY'!D23</f>
        <v>178694</v>
      </c>
      <c r="E23" s="442">
        <f>'enrolment vs availed_UPY'!E23</f>
        <v>0</v>
      </c>
      <c r="F23" s="442">
        <f>'enrolment vs availed_UPY'!F23</f>
        <v>0</v>
      </c>
      <c r="G23" s="442">
        <f t="shared" si="0"/>
        <v>214695</v>
      </c>
      <c r="H23" s="443">
        <v>240</v>
      </c>
      <c r="I23" s="442">
        <f t="shared" si="1"/>
        <v>7729.0199999999995</v>
      </c>
      <c r="J23" s="442">
        <f t="shared" si="2"/>
        <v>7729.0199999999995</v>
      </c>
      <c r="K23" s="442"/>
      <c r="L23" s="442"/>
      <c r="M23" s="442">
        <f t="shared" si="3"/>
        <v>1545.804</v>
      </c>
      <c r="N23" s="442">
        <f t="shared" si="4"/>
        <v>450.8595</v>
      </c>
      <c r="O23" s="442">
        <f t="shared" si="5"/>
        <v>450.8595</v>
      </c>
      <c r="P23" s="442">
        <f t="shared" si="6"/>
        <v>289.83825</v>
      </c>
      <c r="Q23" s="442">
        <f t="shared" si="7"/>
        <v>128.817</v>
      </c>
      <c r="R23" s="442">
        <f t="shared" si="8"/>
        <v>225.42975</v>
      </c>
    </row>
    <row r="24" spans="1:18" ht="16.5">
      <c r="A24" s="441">
        <v>14</v>
      </c>
      <c r="B24" s="373" t="s">
        <v>883</v>
      </c>
      <c r="C24" s="442">
        <f>'enrolment vs availed_UPY'!C24</f>
        <v>38394</v>
      </c>
      <c r="D24" s="442">
        <f>'enrolment vs availed_UPY'!D24</f>
        <v>57670</v>
      </c>
      <c r="E24" s="442">
        <f>'enrolment vs availed_UPY'!E24</f>
        <v>0</v>
      </c>
      <c r="F24" s="442">
        <f>'enrolment vs availed_UPY'!F24</f>
        <v>0</v>
      </c>
      <c r="G24" s="442">
        <f t="shared" si="0"/>
        <v>96064</v>
      </c>
      <c r="H24" s="443">
        <v>240</v>
      </c>
      <c r="I24" s="442">
        <f t="shared" si="1"/>
        <v>3458.3039999999996</v>
      </c>
      <c r="J24" s="442">
        <f t="shared" si="2"/>
        <v>3458.3039999999996</v>
      </c>
      <c r="K24" s="442"/>
      <c r="L24" s="442"/>
      <c r="M24" s="442">
        <f t="shared" si="3"/>
        <v>691.6608</v>
      </c>
      <c r="N24" s="442">
        <f t="shared" si="4"/>
        <v>201.7344</v>
      </c>
      <c r="O24" s="442">
        <f t="shared" si="5"/>
        <v>201.7344</v>
      </c>
      <c r="P24" s="442">
        <f t="shared" si="6"/>
        <v>129.6864</v>
      </c>
      <c r="Q24" s="442">
        <f t="shared" si="7"/>
        <v>57.638400000000004</v>
      </c>
      <c r="R24" s="442">
        <f t="shared" si="8"/>
        <v>100.8672</v>
      </c>
    </row>
    <row r="25" spans="1:18" ht="16.5">
      <c r="A25" s="441">
        <v>15</v>
      </c>
      <c r="B25" s="373" t="s">
        <v>884</v>
      </c>
      <c r="C25" s="442">
        <f>'enrolment vs availed_UPY'!C25</f>
        <v>48796</v>
      </c>
      <c r="D25" s="442">
        <f>'enrolment vs availed_UPY'!D25</f>
        <v>117337</v>
      </c>
      <c r="E25" s="442">
        <f>'enrolment vs availed_UPY'!E25</f>
        <v>0</v>
      </c>
      <c r="F25" s="442">
        <f>'enrolment vs availed_UPY'!F25</f>
        <v>0</v>
      </c>
      <c r="G25" s="442">
        <f t="shared" si="0"/>
        <v>166133</v>
      </c>
      <c r="H25" s="443">
        <v>240</v>
      </c>
      <c r="I25" s="442">
        <f t="shared" si="1"/>
        <v>5980.788</v>
      </c>
      <c r="J25" s="442">
        <f t="shared" si="2"/>
        <v>5980.788</v>
      </c>
      <c r="K25" s="442"/>
      <c r="L25" s="442"/>
      <c r="M25" s="442">
        <f t="shared" si="3"/>
        <v>1196.1576</v>
      </c>
      <c r="N25" s="442">
        <f t="shared" si="4"/>
        <v>348.8793</v>
      </c>
      <c r="O25" s="442">
        <f t="shared" si="5"/>
        <v>348.8793</v>
      </c>
      <c r="P25" s="442">
        <f t="shared" si="6"/>
        <v>224.27955</v>
      </c>
      <c r="Q25" s="442">
        <f t="shared" si="7"/>
        <v>99.6798</v>
      </c>
      <c r="R25" s="442">
        <f t="shared" si="8"/>
        <v>174.43965</v>
      </c>
    </row>
    <row r="26" spans="1:18" ht="16.5">
      <c r="A26" s="441">
        <v>16</v>
      </c>
      <c r="B26" s="373" t="s">
        <v>885</v>
      </c>
      <c r="C26" s="442">
        <f>'enrolment vs availed_UPY'!C26</f>
        <v>32292</v>
      </c>
      <c r="D26" s="442">
        <f>'enrolment vs availed_UPY'!D26</f>
        <v>95521</v>
      </c>
      <c r="E26" s="442">
        <f>'enrolment vs availed_UPY'!E26</f>
        <v>0</v>
      </c>
      <c r="F26" s="442">
        <f>'enrolment vs availed_UPY'!F26</f>
        <v>0</v>
      </c>
      <c r="G26" s="442">
        <f t="shared" si="0"/>
        <v>127813</v>
      </c>
      <c r="H26" s="443">
        <v>240</v>
      </c>
      <c r="I26" s="442">
        <f t="shared" si="1"/>
        <v>4601.268</v>
      </c>
      <c r="J26" s="442">
        <f t="shared" si="2"/>
        <v>4601.268</v>
      </c>
      <c r="K26" s="442"/>
      <c r="L26" s="442"/>
      <c r="M26" s="442">
        <f t="shared" si="3"/>
        <v>920.2536000000001</v>
      </c>
      <c r="N26" s="442">
        <f t="shared" si="4"/>
        <v>268.4073</v>
      </c>
      <c r="O26" s="442">
        <f t="shared" si="5"/>
        <v>268.4073</v>
      </c>
      <c r="P26" s="442">
        <f t="shared" si="6"/>
        <v>172.54755</v>
      </c>
      <c r="Q26" s="442">
        <f t="shared" si="7"/>
        <v>76.6878</v>
      </c>
      <c r="R26" s="442">
        <f t="shared" si="8"/>
        <v>134.20365</v>
      </c>
    </row>
    <row r="27" spans="1:18" ht="16.5">
      <c r="A27" s="441">
        <v>17</v>
      </c>
      <c r="B27" s="373" t="s">
        <v>886</v>
      </c>
      <c r="C27" s="442">
        <f>'enrolment vs availed_UPY'!C27</f>
        <v>99051</v>
      </c>
      <c r="D27" s="442">
        <f>'enrolment vs availed_UPY'!D27</f>
        <v>234131</v>
      </c>
      <c r="E27" s="442">
        <f>'enrolment vs availed_UPY'!E27</f>
        <v>0</v>
      </c>
      <c r="F27" s="442">
        <f>'enrolment vs availed_UPY'!F27</f>
        <v>0</v>
      </c>
      <c r="G27" s="442">
        <f t="shared" si="0"/>
        <v>333182</v>
      </c>
      <c r="H27" s="443">
        <v>240</v>
      </c>
      <c r="I27" s="442">
        <f t="shared" si="1"/>
        <v>11994.552</v>
      </c>
      <c r="J27" s="442">
        <f t="shared" si="2"/>
        <v>11994.552</v>
      </c>
      <c r="K27" s="442"/>
      <c r="L27" s="442"/>
      <c r="M27" s="442">
        <f t="shared" si="3"/>
        <v>2398.9104</v>
      </c>
      <c r="N27" s="442">
        <f t="shared" si="4"/>
        <v>699.6822</v>
      </c>
      <c r="O27" s="442">
        <f t="shared" si="5"/>
        <v>699.6822</v>
      </c>
      <c r="P27" s="442">
        <f t="shared" si="6"/>
        <v>449.7957</v>
      </c>
      <c r="Q27" s="442">
        <f t="shared" si="7"/>
        <v>199.9092</v>
      </c>
      <c r="R27" s="442">
        <f t="shared" si="8"/>
        <v>349.8411</v>
      </c>
    </row>
    <row r="28" spans="1:18" ht="16.5">
      <c r="A28" s="441">
        <v>18</v>
      </c>
      <c r="B28" s="373" t="s">
        <v>887</v>
      </c>
      <c r="C28" s="442">
        <f>'enrolment vs availed_UPY'!C28</f>
        <v>31071</v>
      </c>
      <c r="D28" s="442">
        <f>'enrolment vs availed_UPY'!D28</f>
        <v>134465</v>
      </c>
      <c r="E28" s="442">
        <f>'enrolment vs availed_UPY'!E28</f>
        <v>0</v>
      </c>
      <c r="F28" s="442">
        <f>'enrolment vs availed_UPY'!F28</f>
        <v>237</v>
      </c>
      <c r="G28" s="442">
        <f t="shared" si="0"/>
        <v>165773</v>
      </c>
      <c r="H28" s="443">
        <v>240</v>
      </c>
      <c r="I28" s="442">
        <f t="shared" si="1"/>
        <v>5967.8279999999995</v>
      </c>
      <c r="J28" s="442">
        <f t="shared" si="2"/>
        <v>5967.8279999999995</v>
      </c>
      <c r="K28" s="442"/>
      <c r="L28" s="442"/>
      <c r="M28" s="442">
        <f t="shared" si="3"/>
        <v>1193.5656000000001</v>
      </c>
      <c r="N28" s="442">
        <f t="shared" si="4"/>
        <v>348.12330000000003</v>
      </c>
      <c r="O28" s="442">
        <f t="shared" si="5"/>
        <v>348.12330000000003</v>
      </c>
      <c r="P28" s="442">
        <f t="shared" si="6"/>
        <v>223.79355</v>
      </c>
      <c r="Q28" s="442">
        <f t="shared" si="7"/>
        <v>99.4638</v>
      </c>
      <c r="R28" s="442">
        <f t="shared" si="8"/>
        <v>174.06165000000001</v>
      </c>
    </row>
    <row r="29" spans="1:18" ht="16.5">
      <c r="A29" s="441">
        <v>19</v>
      </c>
      <c r="B29" s="373" t="s">
        <v>888</v>
      </c>
      <c r="C29" s="442">
        <f>'enrolment vs availed_UPY'!C29</f>
        <v>48465</v>
      </c>
      <c r="D29" s="442">
        <f>'enrolment vs availed_UPY'!D29</f>
        <v>99016</v>
      </c>
      <c r="E29" s="442">
        <f>'enrolment vs availed_UPY'!E29</f>
        <v>0</v>
      </c>
      <c r="F29" s="442">
        <f>'enrolment vs availed_UPY'!F29</f>
        <v>0</v>
      </c>
      <c r="G29" s="442">
        <f t="shared" si="0"/>
        <v>147481</v>
      </c>
      <c r="H29" s="443">
        <v>240</v>
      </c>
      <c r="I29" s="442">
        <f t="shared" si="1"/>
        <v>5309.316</v>
      </c>
      <c r="J29" s="442">
        <f t="shared" si="2"/>
        <v>5309.316</v>
      </c>
      <c r="K29" s="442"/>
      <c r="L29" s="442"/>
      <c r="M29" s="442">
        <f t="shared" si="3"/>
        <v>1061.8632</v>
      </c>
      <c r="N29" s="442">
        <f t="shared" si="4"/>
        <v>309.7101</v>
      </c>
      <c r="O29" s="442">
        <f t="shared" si="5"/>
        <v>309.7101</v>
      </c>
      <c r="P29" s="442">
        <f t="shared" si="6"/>
        <v>199.09935000000002</v>
      </c>
      <c r="Q29" s="442">
        <f t="shared" si="7"/>
        <v>88.4886</v>
      </c>
      <c r="R29" s="442">
        <f t="shared" si="8"/>
        <v>154.85505</v>
      </c>
    </row>
    <row r="30" spans="1:18" ht="16.5">
      <c r="A30" s="441">
        <v>20</v>
      </c>
      <c r="B30" s="373" t="s">
        <v>889</v>
      </c>
      <c r="C30" s="442">
        <f>'enrolment vs availed_UPY'!C30</f>
        <v>7168</v>
      </c>
      <c r="D30" s="442">
        <f>'enrolment vs availed_UPY'!D30</f>
        <v>55092</v>
      </c>
      <c r="E30" s="442">
        <f>'enrolment vs availed_UPY'!E30</f>
        <v>0</v>
      </c>
      <c r="F30" s="442">
        <f>'enrolment vs availed_UPY'!F30</f>
        <v>0</v>
      </c>
      <c r="G30" s="442">
        <f t="shared" si="0"/>
        <v>62260</v>
      </c>
      <c r="H30" s="443">
        <v>240</v>
      </c>
      <c r="I30" s="442">
        <f t="shared" si="1"/>
        <v>2241.3599999999997</v>
      </c>
      <c r="J30" s="442">
        <f t="shared" si="2"/>
        <v>2241.3599999999997</v>
      </c>
      <c r="K30" s="442"/>
      <c r="L30" s="442"/>
      <c r="M30" s="442">
        <f t="shared" si="3"/>
        <v>448.272</v>
      </c>
      <c r="N30" s="442">
        <f t="shared" si="4"/>
        <v>130.746</v>
      </c>
      <c r="O30" s="442">
        <f t="shared" si="5"/>
        <v>130.746</v>
      </c>
      <c r="P30" s="442">
        <f t="shared" si="6"/>
        <v>84.051</v>
      </c>
      <c r="Q30" s="442">
        <f t="shared" si="7"/>
        <v>37.356</v>
      </c>
      <c r="R30" s="442">
        <f t="shared" si="8"/>
        <v>65.373</v>
      </c>
    </row>
    <row r="31" spans="1:18" ht="16.5">
      <c r="A31" s="441">
        <v>21</v>
      </c>
      <c r="B31" s="373" t="s">
        <v>890</v>
      </c>
      <c r="C31" s="442">
        <f>'enrolment vs availed_UPY'!C31</f>
        <v>61326</v>
      </c>
      <c r="D31" s="442">
        <f>'enrolment vs availed_UPY'!D31</f>
        <v>196403</v>
      </c>
      <c r="E31" s="442">
        <f>'enrolment vs availed_UPY'!E31</f>
        <v>0</v>
      </c>
      <c r="F31" s="442">
        <f>'enrolment vs availed_UPY'!F31</f>
        <v>0</v>
      </c>
      <c r="G31" s="442">
        <f t="shared" si="0"/>
        <v>257729</v>
      </c>
      <c r="H31" s="443">
        <v>240</v>
      </c>
      <c r="I31" s="442">
        <f t="shared" si="1"/>
        <v>9278.243999999999</v>
      </c>
      <c r="J31" s="442">
        <f t="shared" si="2"/>
        <v>9278.243999999999</v>
      </c>
      <c r="K31" s="442"/>
      <c r="L31" s="442"/>
      <c r="M31" s="442">
        <f t="shared" si="3"/>
        <v>1855.6488000000002</v>
      </c>
      <c r="N31" s="442">
        <f t="shared" si="4"/>
        <v>541.2309</v>
      </c>
      <c r="O31" s="442">
        <f t="shared" si="5"/>
        <v>541.2309</v>
      </c>
      <c r="P31" s="442">
        <f t="shared" si="6"/>
        <v>347.93415</v>
      </c>
      <c r="Q31" s="442">
        <f t="shared" si="7"/>
        <v>154.6374</v>
      </c>
      <c r="R31" s="442">
        <f t="shared" si="8"/>
        <v>270.61545</v>
      </c>
    </row>
    <row r="32" spans="1:18" ht="16.5">
      <c r="A32" s="441">
        <v>22</v>
      </c>
      <c r="B32" s="373" t="s">
        <v>891</v>
      </c>
      <c r="C32" s="442">
        <f>'enrolment vs availed_UPY'!C32</f>
        <v>28792</v>
      </c>
      <c r="D32" s="442">
        <f>'enrolment vs availed_UPY'!D32</f>
        <v>45444</v>
      </c>
      <c r="E32" s="442">
        <f>'enrolment vs availed_UPY'!E32</f>
        <v>0</v>
      </c>
      <c r="F32" s="442">
        <f>'enrolment vs availed_UPY'!F32</f>
        <v>0</v>
      </c>
      <c r="G32" s="442">
        <f t="shared" si="0"/>
        <v>74236</v>
      </c>
      <c r="H32" s="443">
        <v>240</v>
      </c>
      <c r="I32" s="442">
        <f t="shared" si="1"/>
        <v>2672.4959999999996</v>
      </c>
      <c r="J32" s="442">
        <f t="shared" si="2"/>
        <v>2672.4959999999996</v>
      </c>
      <c r="K32" s="442"/>
      <c r="L32" s="442"/>
      <c r="M32" s="442">
        <f t="shared" si="3"/>
        <v>534.4992000000001</v>
      </c>
      <c r="N32" s="442">
        <f t="shared" si="4"/>
        <v>155.8956</v>
      </c>
      <c r="O32" s="442">
        <f t="shared" si="5"/>
        <v>155.8956</v>
      </c>
      <c r="P32" s="442">
        <f t="shared" si="6"/>
        <v>100.21860000000001</v>
      </c>
      <c r="Q32" s="442">
        <f t="shared" si="7"/>
        <v>44.5416</v>
      </c>
      <c r="R32" s="442">
        <f t="shared" si="8"/>
        <v>77.9478</v>
      </c>
    </row>
    <row r="33" spans="1:18" ht="16.5">
      <c r="A33" s="441">
        <v>23</v>
      </c>
      <c r="B33" s="373" t="s">
        <v>892</v>
      </c>
      <c r="C33" s="442">
        <f>'enrolment vs availed_UPY'!C33</f>
        <v>33400</v>
      </c>
      <c r="D33" s="442">
        <f>'enrolment vs availed_UPY'!D33</f>
        <v>56566</v>
      </c>
      <c r="E33" s="442">
        <f>'enrolment vs availed_UPY'!E33</f>
        <v>700</v>
      </c>
      <c r="F33" s="442">
        <f>'enrolment vs availed_UPY'!F33</f>
        <v>0</v>
      </c>
      <c r="G33" s="442">
        <f t="shared" si="0"/>
        <v>90666</v>
      </c>
      <c r="H33" s="443">
        <v>240</v>
      </c>
      <c r="I33" s="442">
        <f t="shared" si="1"/>
        <v>3263.9759999999997</v>
      </c>
      <c r="J33" s="442">
        <f t="shared" si="2"/>
        <v>3263.9759999999997</v>
      </c>
      <c r="K33" s="442"/>
      <c r="L33" s="442"/>
      <c r="M33" s="442">
        <f t="shared" si="3"/>
        <v>652.7952</v>
      </c>
      <c r="N33" s="442">
        <f t="shared" si="4"/>
        <v>190.39860000000002</v>
      </c>
      <c r="O33" s="442">
        <f t="shared" si="5"/>
        <v>190.39860000000002</v>
      </c>
      <c r="P33" s="442">
        <f t="shared" si="6"/>
        <v>122.3991</v>
      </c>
      <c r="Q33" s="442">
        <f t="shared" si="7"/>
        <v>54.3996</v>
      </c>
      <c r="R33" s="442">
        <f t="shared" si="8"/>
        <v>95.19930000000001</v>
      </c>
    </row>
    <row r="34" spans="1:18" ht="16.5">
      <c r="A34" s="441">
        <v>24</v>
      </c>
      <c r="B34" s="373" t="s">
        <v>893</v>
      </c>
      <c r="C34" s="442">
        <f>'enrolment vs availed_UPY'!C34</f>
        <v>80906</v>
      </c>
      <c r="D34" s="442">
        <f>'enrolment vs availed_UPY'!D34</f>
        <v>218146</v>
      </c>
      <c r="E34" s="442">
        <f>'enrolment vs availed_UPY'!E34</f>
        <v>0</v>
      </c>
      <c r="F34" s="442">
        <f>'enrolment vs availed_UPY'!F34</f>
        <v>0</v>
      </c>
      <c r="G34" s="442">
        <f t="shared" si="0"/>
        <v>299052</v>
      </c>
      <c r="H34" s="443">
        <v>240</v>
      </c>
      <c r="I34" s="442">
        <f t="shared" si="1"/>
        <v>10765.872</v>
      </c>
      <c r="J34" s="442">
        <f t="shared" si="2"/>
        <v>10765.872</v>
      </c>
      <c r="K34" s="442"/>
      <c r="L34" s="442"/>
      <c r="M34" s="442">
        <f t="shared" si="3"/>
        <v>2153.1744</v>
      </c>
      <c r="N34" s="442">
        <f t="shared" si="4"/>
        <v>628.0092</v>
      </c>
      <c r="O34" s="442">
        <f t="shared" si="5"/>
        <v>628.0092</v>
      </c>
      <c r="P34" s="442">
        <f t="shared" si="6"/>
        <v>403.72020000000003</v>
      </c>
      <c r="Q34" s="442">
        <f t="shared" si="7"/>
        <v>179.43120000000002</v>
      </c>
      <c r="R34" s="442">
        <f t="shared" si="8"/>
        <v>314.0046</v>
      </c>
    </row>
    <row r="35" spans="1:18" ht="16.5">
      <c r="A35" s="441">
        <v>25</v>
      </c>
      <c r="B35" s="373" t="s">
        <v>894</v>
      </c>
      <c r="C35" s="442">
        <f>'enrolment vs availed_UPY'!C35</f>
        <v>26635</v>
      </c>
      <c r="D35" s="442">
        <f>'enrolment vs availed_UPY'!D35</f>
        <v>57414</v>
      </c>
      <c r="E35" s="442">
        <f>'enrolment vs availed_UPY'!E35</f>
        <v>0</v>
      </c>
      <c r="F35" s="442">
        <f>'enrolment vs availed_UPY'!F35</f>
        <v>0</v>
      </c>
      <c r="G35" s="442">
        <f t="shared" si="0"/>
        <v>84049</v>
      </c>
      <c r="H35" s="443">
        <v>240</v>
      </c>
      <c r="I35" s="442">
        <f t="shared" si="1"/>
        <v>3025.7639999999997</v>
      </c>
      <c r="J35" s="442">
        <f t="shared" si="2"/>
        <v>3025.7639999999997</v>
      </c>
      <c r="K35" s="442"/>
      <c r="L35" s="442"/>
      <c r="M35" s="442">
        <f t="shared" si="3"/>
        <v>605.1528</v>
      </c>
      <c r="N35" s="442">
        <f t="shared" si="4"/>
        <v>176.5029</v>
      </c>
      <c r="O35" s="442">
        <f t="shared" si="5"/>
        <v>176.5029</v>
      </c>
      <c r="P35" s="442">
        <f t="shared" si="6"/>
        <v>113.46615</v>
      </c>
      <c r="Q35" s="442">
        <f t="shared" si="7"/>
        <v>50.4294</v>
      </c>
      <c r="R35" s="442">
        <f t="shared" si="8"/>
        <v>88.25145</v>
      </c>
    </row>
    <row r="36" spans="1:18" ht="16.5">
      <c r="A36" s="441">
        <v>26</v>
      </c>
      <c r="B36" s="373" t="s">
        <v>895</v>
      </c>
      <c r="C36" s="442">
        <f>'enrolment vs availed_UPY'!C36</f>
        <v>10804</v>
      </c>
      <c r="D36" s="442">
        <f>'enrolment vs availed_UPY'!D36</f>
        <v>47631</v>
      </c>
      <c r="E36" s="442">
        <f>'enrolment vs availed_UPY'!E36</f>
        <v>0</v>
      </c>
      <c r="F36" s="442">
        <f>'enrolment vs availed_UPY'!F36</f>
        <v>0</v>
      </c>
      <c r="G36" s="442">
        <f t="shared" si="0"/>
        <v>58435</v>
      </c>
      <c r="H36" s="443">
        <v>240</v>
      </c>
      <c r="I36" s="442">
        <f t="shared" si="1"/>
        <v>2103.66</v>
      </c>
      <c r="J36" s="442">
        <f t="shared" si="2"/>
        <v>2103.66</v>
      </c>
      <c r="K36" s="442"/>
      <c r="L36" s="442"/>
      <c r="M36" s="442">
        <f t="shared" si="3"/>
        <v>420.73199999999997</v>
      </c>
      <c r="N36" s="442">
        <f t="shared" si="4"/>
        <v>122.7135</v>
      </c>
      <c r="O36" s="442">
        <f t="shared" si="5"/>
        <v>122.7135</v>
      </c>
      <c r="P36" s="442">
        <f t="shared" si="6"/>
        <v>78.88725000000001</v>
      </c>
      <c r="Q36" s="442">
        <f t="shared" si="7"/>
        <v>35.061</v>
      </c>
      <c r="R36" s="442">
        <f t="shared" si="8"/>
        <v>61.35675</v>
      </c>
    </row>
    <row r="37" spans="1:18" ht="16.5">
      <c r="A37" s="441">
        <v>27</v>
      </c>
      <c r="B37" s="373" t="s">
        <v>896</v>
      </c>
      <c r="C37" s="442">
        <f>'enrolment vs availed_UPY'!C37</f>
        <v>27305</v>
      </c>
      <c r="D37" s="442">
        <f>'enrolment vs availed_UPY'!D37</f>
        <v>97935</v>
      </c>
      <c r="E37" s="442">
        <f>'enrolment vs availed_UPY'!E37</f>
        <v>175</v>
      </c>
      <c r="F37" s="442">
        <f>'enrolment vs availed_UPY'!F37</f>
        <v>0</v>
      </c>
      <c r="G37" s="442">
        <f t="shared" si="0"/>
        <v>125415</v>
      </c>
      <c r="H37" s="443">
        <v>240</v>
      </c>
      <c r="I37" s="442">
        <f t="shared" si="1"/>
        <v>4514.94</v>
      </c>
      <c r="J37" s="442">
        <f t="shared" si="2"/>
        <v>4514.94</v>
      </c>
      <c r="K37" s="442"/>
      <c r="L37" s="442"/>
      <c r="M37" s="442">
        <f t="shared" si="3"/>
        <v>902.988</v>
      </c>
      <c r="N37" s="442">
        <f t="shared" si="4"/>
        <v>263.3715</v>
      </c>
      <c r="O37" s="442">
        <f t="shared" si="5"/>
        <v>263.3715</v>
      </c>
      <c r="P37" s="442">
        <f t="shared" si="6"/>
        <v>169.31025</v>
      </c>
      <c r="Q37" s="442">
        <f t="shared" si="7"/>
        <v>75.249</v>
      </c>
      <c r="R37" s="442">
        <f t="shared" si="8"/>
        <v>131.68575</v>
      </c>
    </row>
    <row r="38" spans="1:18" ht="16.5">
      <c r="A38" s="441">
        <v>28</v>
      </c>
      <c r="B38" s="373" t="s">
        <v>897</v>
      </c>
      <c r="C38" s="442">
        <f>'enrolment vs availed_UPY'!C38</f>
        <v>24471</v>
      </c>
      <c r="D38" s="442">
        <f>'enrolment vs availed_UPY'!D38</f>
        <v>84051</v>
      </c>
      <c r="E38" s="442">
        <f>'enrolment vs availed_UPY'!E38</f>
        <v>0</v>
      </c>
      <c r="F38" s="442">
        <f>'enrolment vs availed_UPY'!F38</f>
        <v>0</v>
      </c>
      <c r="G38" s="442">
        <f t="shared" si="0"/>
        <v>108522</v>
      </c>
      <c r="H38" s="443">
        <v>240</v>
      </c>
      <c r="I38" s="442">
        <f t="shared" si="1"/>
        <v>3906.7919999999995</v>
      </c>
      <c r="J38" s="442">
        <f t="shared" si="2"/>
        <v>3906.7919999999995</v>
      </c>
      <c r="K38" s="442"/>
      <c r="L38" s="442"/>
      <c r="M38" s="442">
        <f t="shared" si="3"/>
        <v>781.3584</v>
      </c>
      <c r="N38" s="442">
        <f t="shared" si="4"/>
        <v>227.8962</v>
      </c>
      <c r="O38" s="442">
        <f t="shared" si="5"/>
        <v>227.8962</v>
      </c>
      <c r="P38" s="442">
        <f t="shared" si="6"/>
        <v>146.5047</v>
      </c>
      <c r="Q38" s="442">
        <f t="shared" si="7"/>
        <v>65.1132</v>
      </c>
      <c r="R38" s="442">
        <f t="shared" si="8"/>
        <v>113.9481</v>
      </c>
    </row>
    <row r="39" spans="1:18" ht="16.5">
      <c r="A39" s="441">
        <v>29</v>
      </c>
      <c r="B39" s="373" t="s">
        <v>898</v>
      </c>
      <c r="C39" s="442">
        <f>'enrolment vs availed_UPY'!C39</f>
        <v>9820</v>
      </c>
      <c r="D39" s="442">
        <f>'enrolment vs availed_UPY'!D39</f>
        <v>21805</v>
      </c>
      <c r="E39" s="442">
        <f>'enrolment vs availed_UPY'!E39</f>
        <v>0</v>
      </c>
      <c r="F39" s="442">
        <f>'enrolment vs availed_UPY'!F39</f>
        <v>0</v>
      </c>
      <c r="G39" s="442">
        <f t="shared" si="0"/>
        <v>31625</v>
      </c>
      <c r="H39" s="443">
        <v>240</v>
      </c>
      <c r="I39" s="442">
        <f t="shared" si="1"/>
        <v>1138.5</v>
      </c>
      <c r="J39" s="442">
        <f t="shared" si="2"/>
        <v>1138.5</v>
      </c>
      <c r="K39" s="442">
        <v>0</v>
      </c>
      <c r="L39" s="442">
        <v>0</v>
      </c>
      <c r="M39" s="442">
        <f t="shared" si="3"/>
        <v>227.70000000000002</v>
      </c>
      <c r="N39" s="442">
        <f t="shared" si="4"/>
        <v>66.41250000000001</v>
      </c>
      <c r="O39" s="442">
        <f t="shared" si="5"/>
        <v>66.41250000000001</v>
      </c>
      <c r="P39" s="442">
        <f t="shared" si="6"/>
        <v>42.69375</v>
      </c>
      <c r="Q39" s="442">
        <f t="shared" si="7"/>
        <v>18.975</v>
      </c>
      <c r="R39" s="442">
        <f t="shared" si="8"/>
        <v>33.206250000000004</v>
      </c>
    </row>
    <row r="40" spans="1:18" ht="16.5">
      <c r="A40" s="441">
        <v>30</v>
      </c>
      <c r="B40" s="373" t="s">
        <v>899</v>
      </c>
      <c r="C40" s="442">
        <f>'enrolment vs availed_UPY'!C40</f>
        <v>35168</v>
      </c>
      <c r="D40" s="442">
        <f>'enrolment vs availed_UPY'!D40</f>
        <v>160105</v>
      </c>
      <c r="E40" s="442">
        <f>'enrolment vs availed_UPY'!E40</f>
        <v>0</v>
      </c>
      <c r="F40" s="442">
        <f>'enrolment vs availed_UPY'!F40</f>
        <v>0</v>
      </c>
      <c r="G40" s="442">
        <f t="shared" si="0"/>
        <v>195273</v>
      </c>
      <c r="H40" s="443">
        <v>240</v>
      </c>
      <c r="I40" s="442">
        <f t="shared" si="1"/>
        <v>7029.8279999999995</v>
      </c>
      <c r="J40" s="442">
        <f t="shared" si="2"/>
        <v>7029.8279999999995</v>
      </c>
      <c r="K40" s="442"/>
      <c r="L40" s="442"/>
      <c r="M40" s="442">
        <f t="shared" si="3"/>
        <v>1405.9656000000002</v>
      </c>
      <c r="N40" s="442">
        <f t="shared" si="4"/>
        <v>410.0733</v>
      </c>
      <c r="O40" s="442">
        <f t="shared" si="5"/>
        <v>410.0733</v>
      </c>
      <c r="P40" s="442">
        <f t="shared" si="6"/>
        <v>263.61855</v>
      </c>
      <c r="Q40" s="442">
        <f t="shared" si="7"/>
        <v>117.16380000000001</v>
      </c>
      <c r="R40" s="442">
        <f t="shared" si="8"/>
        <v>205.03665</v>
      </c>
    </row>
    <row r="41" spans="1:18" ht="16.5">
      <c r="A41" s="441">
        <v>31</v>
      </c>
      <c r="B41" s="373" t="s">
        <v>900</v>
      </c>
      <c r="C41" s="442">
        <f>'enrolment vs availed_UPY'!C41</f>
        <v>68792</v>
      </c>
      <c r="D41" s="442">
        <f>'enrolment vs availed_UPY'!D41</f>
        <v>146555</v>
      </c>
      <c r="E41" s="442">
        <f>'enrolment vs availed_UPY'!E41</f>
        <v>1284</v>
      </c>
      <c r="F41" s="442">
        <f>'enrolment vs availed_UPY'!F41</f>
        <v>0</v>
      </c>
      <c r="G41" s="442">
        <f t="shared" si="0"/>
        <v>216631</v>
      </c>
      <c r="H41" s="443">
        <v>240</v>
      </c>
      <c r="I41" s="442">
        <f t="shared" si="1"/>
        <v>7798.715999999999</v>
      </c>
      <c r="J41" s="442">
        <f t="shared" si="2"/>
        <v>7798.715999999999</v>
      </c>
      <c r="K41" s="442"/>
      <c r="L41" s="442"/>
      <c r="M41" s="442">
        <f t="shared" si="3"/>
        <v>1559.7432</v>
      </c>
      <c r="N41" s="442">
        <f t="shared" si="4"/>
        <v>454.9251</v>
      </c>
      <c r="O41" s="442">
        <f t="shared" si="5"/>
        <v>454.9251</v>
      </c>
      <c r="P41" s="442">
        <f t="shared" si="6"/>
        <v>292.45185000000004</v>
      </c>
      <c r="Q41" s="442">
        <f t="shared" si="7"/>
        <v>129.9786</v>
      </c>
      <c r="R41" s="442">
        <f t="shared" si="8"/>
        <v>227.46255</v>
      </c>
    </row>
    <row r="42" spans="1:18" ht="16.5">
      <c r="A42" s="441">
        <v>32</v>
      </c>
      <c r="B42" s="373" t="s">
        <v>901</v>
      </c>
      <c r="C42" s="442">
        <f>'enrolment vs availed_UPY'!C42</f>
        <v>48886</v>
      </c>
      <c r="D42" s="442">
        <f>'enrolment vs availed_UPY'!D42</f>
        <v>42238</v>
      </c>
      <c r="E42" s="442">
        <f>'enrolment vs availed_UPY'!E42</f>
        <v>0</v>
      </c>
      <c r="F42" s="442">
        <f>'enrolment vs availed_UPY'!F42</f>
        <v>0</v>
      </c>
      <c r="G42" s="442">
        <f t="shared" si="0"/>
        <v>91124</v>
      </c>
      <c r="H42" s="443">
        <v>240</v>
      </c>
      <c r="I42" s="442">
        <f t="shared" si="1"/>
        <v>3280.4639999999995</v>
      </c>
      <c r="J42" s="442">
        <f t="shared" si="2"/>
        <v>3280.4639999999995</v>
      </c>
      <c r="K42" s="442"/>
      <c r="L42" s="442"/>
      <c r="M42" s="442">
        <f t="shared" si="3"/>
        <v>656.0928</v>
      </c>
      <c r="N42" s="442">
        <f t="shared" si="4"/>
        <v>191.3604</v>
      </c>
      <c r="O42" s="442">
        <f t="shared" si="5"/>
        <v>191.3604</v>
      </c>
      <c r="P42" s="442">
        <f t="shared" si="6"/>
        <v>123.01740000000001</v>
      </c>
      <c r="Q42" s="442">
        <f t="shared" si="7"/>
        <v>54.6744</v>
      </c>
      <c r="R42" s="442">
        <f t="shared" si="8"/>
        <v>95.6802</v>
      </c>
    </row>
    <row r="43" spans="1:18" ht="16.5">
      <c r="A43" s="441">
        <v>33</v>
      </c>
      <c r="B43" s="373" t="s">
        <v>902</v>
      </c>
      <c r="C43" s="442">
        <f>'enrolment vs availed_UPY'!C43</f>
        <v>10770</v>
      </c>
      <c r="D43" s="442">
        <f>'enrolment vs availed_UPY'!D43</f>
        <v>31203</v>
      </c>
      <c r="E43" s="442">
        <f>'enrolment vs availed_UPY'!E43</f>
        <v>0</v>
      </c>
      <c r="F43" s="442">
        <f>'enrolment vs availed_UPY'!F43</f>
        <v>0</v>
      </c>
      <c r="G43" s="442">
        <f t="shared" si="0"/>
        <v>41973</v>
      </c>
      <c r="H43" s="443">
        <v>240</v>
      </c>
      <c r="I43" s="442">
        <f t="shared" si="1"/>
        <v>1511.0279999999998</v>
      </c>
      <c r="J43" s="442">
        <f t="shared" si="2"/>
        <v>1511.0279999999998</v>
      </c>
      <c r="K43" s="442"/>
      <c r="L43" s="442"/>
      <c r="M43" s="442">
        <f t="shared" si="3"/>
        <v>302.2056</v>
      </c>
      <c r="N43" s="442">
        <f t="shared" si="4"/>
        <v>88.1433</v>
      </c>
      <c r="O43" s="442">
        <f t="shared" si="5"/>
        <v>88.1433</v>
      </c>
      <c r="P43" s="442">
        <f t="shared" si="6"/>
        <v>56.66355</v>
      </c>
      <c r="Q43" s="442">
        <f t="shared" si="7"/>
        <v>25.1838</v>
      </c>
      <c r="R43" s="442">
        <f t="shared" si="8"/>
        <v>44.07165</v>
      </c>
    </row>
    <row r="44" spans="1:18" ht="16.5">
      <c r="A44" s="441">
        <v>34</v>
      </c>
      <c r="B44" s="373" t="s">
        <v>903</v>
      </c>
      <c r="C44" s="442">
        <f>'enrolment vs availed_UPY'!C44</f>
        <v>18866</v>
      </c>
      <c r="D44" s="442">
        <f>'enrolment vs availed_UPY'!D44</f>
        <v>41271</v>
      </c>
      <c r="E44" s="442">
        <f>'enrolment vs availed_UPY'!E44</f>
        <v>0</v>
      </c>
      <c r="F44" s="442">
        <f>'enrolment vs availed_UPY'!F44</f>
        <v>0</v>
      </c>
      <c r="G44" s="442">
        <f t="shared" si="0"/>
        <v>60137</v>
      </c>
      <c r="H44" s="443">
        <v>240</v>
      </c>
      <c r="I44" s="442">
        <f t="shared" si="1"/>
        <v>2164.932</v>
      </c>
      <c r="J44" s="442">
        <f t="shared" si="2"/>
        <v>2164.932</v>
      </c>
      <c r="K44" s="442"/>
      <c r="L44" s="442"/>
      <c r="M44" s="442">
        <f t="shared" si="3"/>
        <v>432.9864</v>
      </c>
      <c r="N44" s="442">
        <f t="shared" si="4"/>
        <v>126.2877</v>
      </c>
      <c r="O44" s="442">
        <f t="shared" si="5"/>
        <v>126.2877</v>
      </c>
      <c r="P44" s="442">
        <f t="shared" si="6"/>
        <v>81.18495</v>
      </c>
      <c r="Q44" s="442">
        <f t="shared" si="7"/>
        <v>36.0822</v>
      </c>
      <c r="R44" s="442">
        <f t="shared" si="8"/>
        <v>63.14385</v>
      </c>
    </row>
    <row r="45" spans="1:18" ht="16.5">
      <c r="A45" s="441">
        <v>35</v>
      </c>
      <c r="B45" s="373" t="s">
        <v>904</v>
      </c>
      <c r="C45" s="442">
        <f>'enrolment vs availed_UPY'!C45</f>
        <v>51707</v>
      </c>
      <c r="D45" s="442">
        <f>'enrolment vs availed_UPY'!D45</f>
        <v>60768</v>
      </c>
      <c r="E45" s="442">
        <f>'enrolment vs availed_UPY'!E45</f>
        <v>0</v>
      </c>
      <c r="F45" s="442">
        <f>'enrolment vs availed_UPY'!F45</f>
        <v>0</v>
      </c>
      <c r="G45" s="442">
        <f t="shared" si="0"/>
        <v>112475</v>
      </c>
      <c r="H45" s="443">
        <v>240</v>
      </c>
      <c r="I45" s="442">
        <f t="shared" si="1"/>
        <v>4049.0999999999995</v>
      </c>
      <c r="J45" s="442">
        <f t="shared" si="2"/>
        <v>4049.0999999999995</v>
      </c>
      <c r="K45" s="442"/>
      <c r="L45" s="442"/>
      <c r="M45" s="442">
        <f t="shared" si="3"/>
        <v>809.82</v>
      </c>
      <c r="N45" s="442">
        <f t="shared" si="4"/>
        <v>236.19750000000002</v>
      </c>
      <c r="O45" s="442">
        <f t="shared" si="5"/>
        <v>236.19750000000002</v>
      </c>
      <c r="P45" s="442">
        <f t="shared" si="6"/>
        <v>151.84125</v>
      </c>
      <c r="Q45" s="442">
        <f t="shared" si="7"/>
        <v>67.485</v>
      </c>
      <c r="R45" s="442">
        <f t="shared" si="8"/>
        <v>118.09875000000001</v>
      </c>
    </row>
    <row r="46" spans="1:18" ht="16.5">
      <c r="A46" s="441" t="s">
        <v>19</v>
      </c>
      <c r="B46" s="442"/>
      <c r="C46" s="442">
        <f>SUM(C11:C45)</f>
        <v>1240742</v>
      </c>
      <c r="D46" s="442">
        <f aca="true" t="shared" si="9" ref="D46:Q46">SUM(D11:D45)</f>
        <v>3110448</v>
      </c>
      <c r="E46" s="442">
        <f t="shared" si="9"/>
        <v>2911</v>
      </c>
      <c r="F46" s="442">
        <f t="shared" si="9"/>
        <v>257</v>
      </c>
      <c r="G46" s="442">
        <f t="shared" si="9"/>
        <v>4354358</v>
      </c>
      <c r="H46" s="442">
        <v>240</v>
      </c>
      <c r="I46" s="573">
        <f t="shared" si="9"/>
        <v>156756.88799999998</v>
      </c>
      <c r="J46" s="442">
        <f t="shared" si="9"/>
        <v>156756.88799999998</v>
      </c>
      <c r="K46" s="442">
        <f t="shared" si="9"/>
        <v>0</v>
      </c>
      <c r="L46" s="442">
        <f t="shared" si="9"/>
        <v>0</v>
      </c>
      <c r="M46" s="442">
        <f t="shared" si="9"/>
        <v>31351.377600000003</v>
      </c>
      <c r="N46" s="442">
        <f t="shared" si="9"/>
        <v>9144.151800000001</v>
      </c>
      <c r="O46" s="442">
        <f t="shared" si="9"/>
        <v>9144.151800000001</v>
      </c>
      <c r="P46" s="442">
        <f t="shared" si="9"/>
        <v>5878.383300000002</v>
      </c>
      <c r="Q46" s="442">
        <f t="shared" si="9"/>
        <v>2612.6147999999994</v>
      </c>
      <c r="R46" s="442">
        <f t="shared" si="8"/>
        <v>4572.0759</v>
      </c>
    </row>
    <row r="47" spans="1:18" ht="16.5">
      <c r="A47" s="444"/>
      <c r="B47" s="444"/>
      <c r="C47" s="444"/>
      <c r="D47" s="444"/>
      <c r="E47" s="444"/>
      <c r="F47" s="444"/>
      <c r="G47" s="444"/>
      <c r="H47" s="444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6.5">
      <c r="A48" s="445" t="s">
        <v>8</v>
      </c>
      <c r="B48" s="446"/>
      <c r="C48" s="446"/>
      <c r="D48" s="444"/>
      <c r="E48" s="444"/>
      <c r="F48" s="444"/>
      <c r="G48" s="444"/>
      <c r="H48" s="444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6.5">
      <c r="A49" s="447" t="s">
        <v>9</v>
      </c>
      <c r="B49" s="447"/>
      <c r="C49" s="44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6.5">
      <c r="A50" s="447" t="s">
        <v>10</v>
      </c>
      <c r="B50" s="447"/>
      <c r="C50" s="447"/>
      <c r="D50" s="437"/>
      <c r="E50" s="437"/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1:18" ht="16.5">
      <c r="A51" s="447"/>
      <c r="B51" s="447"/>
      <c r="C51" s="447"/>
      <c r="D51" s="437"/>
      <c r="E51" s="437"/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7"/>
      <c r="R51" s="437"/>
    </row>
    <row r="52" spans="1:18" ht="16.5" customHeight="1">
      <c r="A52" s="447"/>
      <c r="B52" s="447"/>
      <c r="C52" s="447"/>
      <c r="D52" s="437"/>
      <c r="E52" s="748" t="s">
        <v>1021</v>
      </c>
      <c r="F52" s="748"/>
      <c r="G52" s="748"/>
      <c r="H52" s="748"/>
      <c r="I52" s="607"/>
      <c r="J52" s="607"/>
      <c r="K52" s="271"/>
      <c r="L52" s="271"/>
      <c r="M52" s="748" t="s">
        <v>1024</v>
      </c>
      <c r="N52" s="748"/>
      <c r="O52" s="748"/>
      <c r="P52" s="748"/>
      <c r="Q52" s="437"/>
      <c r="R52" s="437"/>
    </row>
    <row r="53" spans="1:18" ht="16.5" customHeight="1">
      <c r="A53" s="447" t="s">
        <v>12</v>
      </c>
      <c r="B53" s="437"/>
      <c r="C53" s="437"/>
      <c r="D53" s="437"/>
      <c r="E53" s="748" t="s">
        <v>1022</v>
      </c>
      <c r="F53" s="748"/>
      <c r="G53" s="748"/>
      <c r="H53" s="748"/>
      <c r="I53" s="607"/>
      <c r="J53" s="607"/>
      <c r="K53" s="271"/>
      <c r="L53" s="271"/>
      <c r="M53" s="748" t="s">
        <v>1025</v>
      </c>
      <c r="N53" s="748"/>
      <c r="O53" s="748"/>
      <c r="P53" s="748"/>
      <c r="Q53" s="447"/>
      <c r="R53" s="447"/>
    </row>
    <row r="54" spans="1:18" ht="12.75" customHeight="1">
      <c r="A54" s="437"/>
      <c r="B54" s="437"/>
      <c r="C54" s="437"/>
      <c r="D54" s="437"/>
      <c r="E54" s="735" t="s">
        <v>1023</v>
      </c>
      <c r="F54" s="735"/>
      <c r="G54" s="735"/>
      <c r="H54" s="735"/>
      <c r="I54" s="607"/>
      <c r="J54" s="607"/>
      <c r="K54" s="271"/>
      <c r="L54" s="271"/>
      <c r="M54" s="735" t="s">
        <v>1023</v>
      </c>
      <c r="N54" s="735"/>
      <c r="O54" s="735"/>
      <c r="P54" s="735"/>
      <c r="Q54" s="600"/>
      <c r="R54" s="600"/>
    </row>
    <row r="55" spans="1:18" ht="12.75" customHeight="1">
      <c r="A55" s="437"/>
      <c r="B55" s="437"/>
      <c r="C55" s="437"/>
      <c r="D55" s="437"/>
      <c r="E55"/>
      <c r="F55"/>
      <c r="G55"/>
      <c r="H55"/>
      <c r="I55"/>
      <c r="J55"/>
      <c r="K55" s="600"/>
      <c r="L55" s="600"/>
      <c r="M55" s="600"/>
      <c r="N55" s="600"/>
      <c r="O55" s="600"/>
      <c r="P55" s="600"/>
      <c r="Q55" s="600"/>
      <c r="R55" s="600"/>
    </row>
    <row r="56" spans="1:18" ht="16.5">
      <c r="A56" s="447"/>
      <c r="B56" s="447"/>
      <c r="C56" s="437"/>
      <c r="D56" s="437"/>
      <c r="E56" s="437"/>
      <c r="F56" s="437"/>
      <c r="G56" s="437"/>
      <c r="H56" s="437"/>
      <c r="I56" s="437"/>
      <c r="J56" s="447"/>
      <c r="K56" s="447"/>
      <c r="L56" s="447"/>
      <c r="M56" s="447"/>
      <c r="N56" s="447"/>
      <c r="O56" s="447"/>
      <c r="P56" s="447"/>
      <c r="Q56" s="447"/>
      <c r="R56" s="447"/>
    </row>
    <row r="58" spans="1:18" ht="12.75">
      <c r="A58" s="1021"/>
      <c r="B58" s="1021"/>
      <c r="C58" s="1021"/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  <c r="O58" s="1021"/>
      <c r="P58" s="1021"/>
      <c r="Q58" s="1021"/>
      <c r="R58" s="1021"/>
    </row>
  </sheetData>
  <sheetProtection/>
  <mergeCells count="20">
    <mergeCell ref="A58:R58"/>
    <mergeCell ref="Q1:R1"/>
    <mergeCell ref="A8:A9"/>
    <mergeCell ref="B8:B9"/>
    <mergeCell ref="C8:G8"/>
    <mergeCell ref="H8:H9"/>
    <mergeCell ref="I8:L8"/>
    <mergeCell ref="M8:R8"/>
    <mergeCell ref="G1:I1"/>
    <mergeCell ref="A2:R2"/>
    <mergeCell ref="E53:H53"/>
    <mergeCell ref="M53:P53"/>
    <mergeCell ref="E54:H54"/>
    <mergeCell ref="M54:P54"/>
    <mergeCell ref="A3:R3"/>
    <mergeCell ref="A4:R5"/>
    <mergeCell ref="A6:R6"/>
    <mergeCell ref="L7:R7"/>
    <mergeCell ref="E52:H52"/>
    <mergeCell ref="M52:P52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5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Normal="70" zoomScaleSheetLayoutView="100" zoomScalePageLayoutView="0" workbookViewId="0" topLeftCell="A31">
      <selection activeCell="U52" sqref="U52"/>
    </sheetView>
  </sheetViews>
  <sheetFormatPr defaultColWidth="9.140625" defaultRowHeight="12.75"/>
  <cols>
    <col min="1" max="1" width="5.57421875" style="271" customWidth="1"/>
    <col min="2" max="2" width="12.7109375" style="271" customWidth="1"/>
    <col min="3" max="3" width="10.28125" style="271" customWidth="1"/>
    <col min="4" max="4" width="12.8515625" style="271" customWidth="1"/>
    <col min="5" max="5" width="8.7109375" style="253" customWidth="1"/>
    <col min="6" max="7" width="8.00390625" style="253" customWidth="1"/>
    <col min="8" max="10" width="8.140625" style="253" customWidth="1"/>
    <col min="11" max="11" width="8.421875" style="253" customWidth="1"/>
    <col min="12" max="12" width="8.140625" style="253" customWidth="1"/>
    <col min="13" max="13" width="8.8515625" style="253" customWidth="1"/>
    <col min="14" max="14" width="8.140625" style="253" customWidth="1"/>
    <col min="15" max="16384" width="9.140625" style="253" customWidth="1"/>
  </cols>
  <sheetData>
    <row r="1" spans="4:14" ht="12.75" customHeight="1">
      <c r="D1" s="1032"/>
      <c r="E1" s="1032"/>
      <c r="F1" s="271"/>
      <c r="G1" s="271"/>
      <c r="H1" s="271"/>
      <c r="I1" s="271"/>
      <c r="J1" s="271"/>
      <c r="K1" s="271"/>
      <c r="L1" s="271"/>
      <c r="M1" s="1031" t="s">
        <v>555</v>
      </c>
      <c r="N1" s="1031"/>
    </row>
    <row r="2" spans="1:14" ht="15.75">
      <c r="A2" s="1033" t="s">
        <v>0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</row>
    <row r="3" spans="1:14" ht="18">
      <c r="A3" s="1029" t="s">
        <v>656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</row>
    <row r="4" spans="1:14" ht="12.75" customHeight="1">
      <c r="A4" s="1030" t="s">
        <v>739</v>
      </c>
      <c r="B4" s="1030"/>
      <c r="C4" s="1030"/>
      <c r="D4" s="1030"/>
      <c r="E4" s="1030"/>
      <c r="F4" s="1030"/>
      <c r="G4" s="1030"/>
      <c r="H4" s="1030"/>
      <c r="I4" s="1030"/>
      <c r="J4" s="1030"/>
      <c r="K4" s="1030"/>
      <c r="L4" s="1030"/>
      <c r="M4" s="1030"/>
      <c r="N4" s="1030"/>
    </row>
    <row r="5" spans="1:14" s="254" customFormat="1" ht="7.5" customHeight="1">
      <c r="A5" s="1030"/>
      <c r="B5" s="1030"/>
      <c r="C5" s="1030"/>
      <c r="D5" s="1030"/>
      <c r="E5" s="1030"/>
      <c r="F5" s="1030"/>
      <c r="G5" s="1030"/>
      <c r="H5" s="1030"/>
      <c r="I5" s="1030"/>
      <c r="J5" s="1030"/>
      <c r="K5" s="1030"/>
      <c r="L5" s="1030"/>
      <c r="M5" s="1030"/>
      <c r="N5" s="1030"/>
    </row>
    <row r="6" spans="1:14" ht="12.75">
      <c r="A6" s="1034"/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</row>
    <row r="7" spans="1:14" ht="12.75">
      <c r="A7" s="208" t="s">
        <v>1020</v>
      </c>
      <c r="B7" s="208"/>
      <c r="C7" s="209"/>
      <c r="D7" s="299"/>
      <c r="E7" s="271"/>
      <c r="F7" s="271"/>
      <c r="G7" s="271"/>
      <c r="H7" s="1037"/>
      <c r="I7" s="1037"/>
      <c r="J7" s="1037"/>
      <c r="K7" s="1037"/>
      <c r="L7" s="1037"/>
      <c r="M7" s="1037"/>
      <c r="N7" s="1037"/>
    </row>
    <row r="8" spans="1:14" ht="30.75" customHeight="1">
      <c r="A8" s="950" t="s">
        <v>2</v>
      </c>
      <c r="B8" s="950" t="s">
        <v>3</v>
      </c>
      <c r="C8" s="1035" t="s">
        <v>505</v>
      </c>
      <c r="D8" s="1038" t="s">
        <v>85</v>
      </c>
      <c r="E8" s="1040" t="s">
        <v>86</v>
      </c>
      <c r="F8" s="1041"/>
      <c r="G8" s="1041"/>
      <c r="H8" s="1042"/>
      <c r="I8" s="1040" t="s">
        <v>735</v>
      </c>
      <c r="J8" s="1041"/>
      <c r="K8" s="1041"/>
      <c r="L8" s="1041"/>
      <c r="M8" s="1041"/>
      <c r="N8" s="1041"/>
    </row>
    <row r="9" spans="1:14" ht="44.25" customHeight="1">
      <c r="A9" s="950"/>
      <c r="B9" s="950"/>
      <c r="C9" s="1036"/>
      <c r="D9" s="1039"/>
      <c r="E9" s="317" t="s">
        <v>90</v>
      </c>
      <c r="F9" s="317" t="s">
        <v>21</v>
      </c>
      <c r="G9" s="317" t="s">
        <v>42</v>
      </c>
      <c r="H9" s="317" t="s">
        <v>836</v>
      </c>
      <c r="I9" s="300" t="s">
        <v>19</v>
      </c>
      <c r="J9" s="596" t="s">
        <v>914</v>
      </c>
      <c r="K9" s="596" t="s">
        <v>915</v>
      </c>
      <c r="L9" s="596" t="s">
        <v>967</v>
      </c>
      <c r="M9" s="596" t="s">
        <v>966</v>
      </c>
      <c r="N9" s="596" t="s">
        <v>965</v>
      </c>
    </row>
    <row r="10" spans="1:14" s="255" customFormat="1" ht="12.75">
      <c r="A10" s="300">
        <v>1</v>
      </c>
      <c r="B10" s="300">
        <v>2</v>
      </c>
      <c r="C10" s="300">
        <v>3</v>
      </c>
      <c r="D10" s="300">
        <v>8</v>
      </c>
      <c r="E10" s="300">
        <v>9</v>
      </c>
      <c r="F10" s="300">
        <v>10</v>
      </c>
      <c r="G10" s="300">
        <v>11</v>
      </c>
      <c r="H10" s="300">
        <v>12</v>
      </c>
      <c r="I10" s="300">
        <v>13</v>
      </c>
      <c r="J10" s="300">
        <v>14</v>
      </c>
      <c r="K10" s="300">
        <v>15</v>
      </c>
      <c r="L10" s="300">
        <v>16</v>
      </c>
      <c r="M10" s="300">
        <v>17</v>
      </c>
      <c r="N10" s="300">
        <v>18</v>
      </c>
    </row>
    <row r="11" spans="1:14" ht="12.75">
      <c r="A11" s="272">
        <v>1</v>
      </c>
      <c r="B11" s="328" t="s">
        <v>870</v>
      </c>
      <c r="C11" s="273">
        <f>'enrolment vs availed_PY'!E11+'enrolment vs availed_UPY'!E11</f>
        <v>0</v>
      </c>
      <c r="D11" s="301">
        <v>289</v>
      </c>
      <c r="E11" s="273">
        <f>F11</f>
        <v>0</v>
      </c>
      <c r="F11" s="273">
        <f>C11*D11*0.00015</f>
        <v>0</v>
      </c>
      <c r="G11" s="273"/>
      <c r="H11" s="273"/>
      <c r="I11" s="273">
        <f>J11+K11+L11+M11+N11</f>
        <v>0</v>
      </c>
      <c r="J11" s="273">
        <f>C11*104*0.00003</f>
        <v>0</v>
      </c>
      <c r="K11" s="273">
        <f>C11*52*0.00003</f>
        <v>0</v>
      </c>
      <c r="L11" s="273">
        <f>C11*52*0.00003</f>
        <v>0</v>
      </c>
      <c r="M11" s="273">
        <f>C11*52*0.00003</f>
        <v>0</v>
      </c>
      <c r="N11" s="273">
        <f>C11*39*0.00003</f>
        <v>0</v>
      </c>
    </row>
    <row r="12" spans="1:14" ht="12.75">
      <c r="A12" s="272">
        <v>2</v>
      </c>
      <c r="B12" s="328" t="s">
        <v>871</v>
      </c>
      <c r="C12" s="273">
        <f>'enrolment vs availed_PY'!E12+'enrolment vs availed_UPY'!E12</f>
        <v>0</v>
      </c>
      <c r="D12" s="301">
        <v>289</v>
      </c>
      <c r="E12" s="273">
        <f aca="true" t="shared" si="0" ref="E12:E45">F12</f>
        <v>0</v>
      </c>
      <c r="F12" s="273">
        <f aca="true" t="shared" si="1" ref="F12:F45">C12*D12*0.00015</f>
        <v>0</v>
      </c>
      <c r="G12" s="273"/>
      <c r="H12" s="273"/>
      <c r="I12" s="273">
        <f aca="true" t="shared" si="2" ref="I12:I45">J12+K12+L12+M12+N12</f>
        <v>0</v>
      </c>
      <c r="J12" s="273">
        <f aca="true" t="shared" si="3" ref="J12:J46">C12*104*0.00003</f>
        <v>0</v>
      </c>
      <c r="K12" s="273">
        <f aca="true" t="shared" si="4" ref="K12:K46">C12*52*0.00003</f>
        <v>0</v>
      </c>
      <c r="L12" s="273">
        <f aca="true" t="shared" si="5" ref="L12:L46">C12*52*0.00003</f>
        <v>0</v>
      </c>
      <c r="M12" s="273">
        <f aca="true" t="shared" si="6" ref="M12:M46">C12*52*0.00003</f>
        <v>0</v>
      </c>
      <c r="N12" s="273">
        <f aca="true" t="shared" si="7" ref="N12:N46">C12*39*0.00003</f>
        <v>0</v>
      </c>
    </row>
    <row r="13" spans="1:14" ht="12.75">
      <c r="A13" s="272">
        <v>3</v>
      </c>
      <c r="B13" s="328" t="s">
        <v>872</v>
      </c>
      <c r="C13" s="273">
        <f>'enrolment vs availed_PY'!E13+'enrolment vs availed_UPY'!E13</f>
        <v>0</v>
      </c>
      <c r="D13" s="301">
        <v>289</v>
      </c>
      <c r="E13" s="273">
        <f t="shared" si="0"/>
        <v>0</v>
      </c>
      <c r="F13" s="273">
        <f t="shared" si="1"/>
        <v>0</v>
      </c>
      <c r="G13" s="273">
        <v>0</v>
      </c>
      <c r="H13" s="273">
        <v>0</v>
      </c>
      <c r="I13" s="273">
        <f t="shared" si="2"/>
        <v>0</v>
      </c>
      <c r="J13" s="273">
        <f t="shared" si="3"/>
        <v>0</v>
      </c>
      <c r="K13" s="273">
        <f t="shared" si="4"/>
        <v>0</v>
      </c>
      <c r="L13" s="273">
        <f t="shared" si="5"/>
        <v>0</v>
      </c>
      <c r="M13" s="273">
        <f t="shared" si="6"/>
        <v>0</v>
      </c>
      <c r="N13" s="273">
        <f t="shared" si="7"/>
        <v>0</v>
      </c>
    </row>
    <row r="14" spans="1:14" ht="12.75">
      <c r="A14" s="272">
        <v>4</v>
      </c>
      <c r="B14" s="328" t="s">
        <v>873</v>
      </c>
      <c r="C14" s="273">
        <f>'enrolment vs availed_PY'!E14+'enrolment vs availed_UPY'!E14</f>
        <v>0</v>
      </c>
      <c r="D14" s="301">
        <v>289</v>
      </c>
      <c r="E14" s="273">
        <f t="shared" si="0"/>
        <v>0</v>
      </c>
      <c r="F14" s="273">
        <f t="shared" si="1"/>
        <v>0</v>
      </c>
      <c r="G14" s="273"/>
      <c r="H14" s="273"/>
      <c r="I14" s="273">
        <f t="shared" si="2"/>
        <v>0</v>
      </c>
      <c r="J14" s="273">
        <f t="shared" si="3"/>
        <v>0</v>
      </c>
      <c r="K14" s="273">
        <f t="shared" si="4"/>
        <v>0</v>
      </c>
      <c r="L14" s="273">
        <f t="shared" si="5"/>
        <v>0</v>
      </c>
      <c r="M14" s="273">
        <f t="shared" si="6"/>
        <v>0</v>
      </c>
      <c r="N14" s="273">
        <f t="shared" si="7"/>
        <v>0</v>
      </c>
    </row>
    <row r="15" spans="1:14" ht="12.75">
      <c r="A15" s="272">
        <v>5</v>
      </c>
      <c r="B15" s="328" t="s">
        <v>874</v>
      </c>
      <c r="C15" s="273">
        <f>'enrolment vs availed_PY'!E15+'enrolment vs availed_UPY'!E15</f>
        <v>1028</v>
      </c>
      <c r="D15" s="301">
        <v>289</v>
      </c>
      <c r="E15" s="273">
        <f t="shared" si="0"/>
        <v>44.56379999999999</v>
      </c>
      <c r="F15" s="273">
        <f t="shared" si="1"/>
        <v>44.56379999999999</v>
      </c>
      <c r="G15" s="273"/>
      <c r="H15" s="273"/>
      <c r="I15" s="273">
        <f t="shared" si="2"/>
        <v>9.22116</v>
      </c>
      <c r="J15" s="273">
        <f t="shared" si="3"/>
        <v>3.20736</v>
      </c>
      <c r="K15" s="273">
        <f t="shared" si="4"/>
        <v>1.60368</v>
      </c>
      <c r="L15" s="273">
        <f t="shared" si="5"/>
        <v>1.60368</v>
      </c>
      <c r="M15" s="273">
        <f t="shared" si="6"/>
        <v>1.60368</v>
      </c>
      <c r="N15" s="273">
        <f t="shared" si="7"/>
        <v>1.20276</v>
      </c>
    </row>
    <row r="16" spans="1:14" ht="12.75">
      <c r="A16" s="272">
        <v>6</v>
      </c>
      <c r="B16" s="328" t="s">
        <v>875</v>
      </c>
      <c r="C16" s="273">
        <f>'enrolment vs availed_PY'!E16+'enrolment vs availed_UPY'!E16</f>
        <v>0</v>
      </c>
      <c r="D16" s="301">
        <v>289</v>
      </c>
      <c r="E16" s="273">
        <f t="shared" si="0"/>
        <v>0</v>
      </c>
      <c r="F16" s="273">
        <f t="shared" si="1"/>
        <v>0</v>
      </c>
      <c r="G16" s="273"/>
      <c r="H16" s="273"/>
      <c r="I16" s="273">
        <f t="shared" si="2"/>
        <v>0</v>
      </c>
      <c r="J16" s="273">
        <f t="shared" si="3"/>
        <v>0</v>
      </c>
      <c r="K16" s="273">
        <f t="shared" si="4"/>
        <v>0</v>
      </c>
      <c r="L16" s="273">
        <f t="shared" si="5"/>
        <v>0</v>
      </c>
      <c r="M16" s="273">
        <f t="shared" si="6"/>
        <v>0</v>
      </c>
      <c r="N16" s="273">
        <f t="shared" si="7"/>
        <v>0</v>
      </c>
    </row>
    <row r="17" spans="1:14" ht="12.75">
      <c r="A17" s="272">
        <v>7</v>
      </c>
      <c r="B17" s="328" t="s">
        <v>876</v>
      </c>
      <c r="C17" s="273">
        <f>'enrolment vs availed_PY'!E17+'enrolment vs availed_UPY'!E17</f>
        <v>0</v>
      </c>
      <c r="D17" s="301">
        <v>289</v>
      </c>
      <c r="E17" s="273">
        <f t="shared" si="0"/>
        <v>0</v>
      </c>
      <c r="F17" s="273">
        <f t="shared" si="1"/>
        <v>0</v>
      </c>
      <c r="G17" s="273"/>
      <c r="H17" s="273"/>
      <c r="I17" s="273">
        <f t="shared" si="2"/>
        <v>0</v>
      </c>
      <c r="J17" s="273">
        <f t="shared" si="3"/>
        <v>0</v>
      </c>
      <c r="K17" s="273">
        <f t="shared" si="4"/>
        <v>0</v>
      </c>
      <c r="L17" s="273">
        <f t="shared" si="5"/>
        <v>0</v>
      </c>
      <c r="M17" s="273">
        <f t="shared" si="6"/>
        <v>0</v>
      </c>
      <c r="N17" s="273">
        <f t="shared" si="7"/>
        <v>0</v>
      </c>
    </row>
    <row r="18" spans="1:14" ht="12.75">
      <c r="A18" s="272">
        <v>8</v>
      </c>
      <c r="B18" s="328" t="s">
        <v>877</v>
      </c>
      <c r="C18" s="273">
        <f>'enrolment vs availed_PY'!E18+'enrolment vs availed_UPY'!E18</f>
        <v>0</v>
      </c>
      <c r="D18" s="301">
        <v>289</v>
      </c>
      <c r="E18" s="273">
        <f t="shared" si="0"/>
        <v>0</v>
      </c>
      <c r="F18" s="273">
        <f t="shared" si="1"/>
        <v>0</v>
      </c>
      <c r="G18" s="273"/>
      <c r="H18" s="273"/>
      <c r="I18" s="273">
        <f t="shared" si="2"/>
        <v>0</v>
      </c>
      <c r="J18" s="273">
        <f t="shared" si="3"/>
        <v>0</v>
      </c>
      <c r="K18" s="273">
        <f t="shared" si="4"/>
        <v>0</v>
      </c>
      <c r="L18" s="273">
        <f t="shared" si="5"/>
        <v>0</v>
      </c>
      <c r="M18" s="273">
        <f t="shared" si="6"/>
        <v>0</v>
      </c>
      <c r="N18" s="273">
        <f t="shared" si="7"/>
        <v>0</v>
      </c>
    </row>
    <row r="19" spans="1:14" ht="12.75">
      <c r="A19" s="272">
        <v>9</v>
      </c>
      <c r="B19" s="328" t="s">
        <v>878</v>
      </c>
      <c r="C19" s="273">
        <f>'enrolment vs availed_PY'!E19+'enrolment vs availed_UPY'!E19</f>
        <v>752</v>
      </c>
      <c r="D19" s="301">
        <v>289</v>
      </c>
      <c r="E19" s="273">
        <f t="shared" si="0"/>
        <v>32.599199999999996</v>
      </c>
      <c r="F19" s="273">
        <f t="shared" si="1"/>
        <v>32.599199999999996</v>
      </c>
      <c r="G19" s="273"/>
      <c r="H19" s="273"/>
      <c r="I19" s="273">
        <f t="shared" si="2"/>
        <v>6.745439999999999</v>
      </c>
      <c r="J19" s="273">
        <f t="shared" si="3"/>
        <v>2.34624</v>
      </c>
      <c r="K19" s="273">
        <f t="shared" si="4"/>
        <v>1.17312</v>
      </c>
      <c r="L19" s="273">
        <f t="shared" si="5"/>
        <v>1.17312</v>
      </c>
      <c r="M19" s="273">
        <f t="shared" si="6"/>
        <v>1.17312</v>
      </c>
      <c r="N19" s="273">
        <f t="shared" si="7"/>
        <v>0.8798400000000001</v>
      </c>
    </row>
    <row r="20" spans="1:14" ht="12.75">
      <c r="A20" s="272">
        <v>10</v>
      </c>
      <c r="B20" s="328" t="s">
        <v>879</v>
      </c>
      <c r="C20" s="273">
        <f>'enrolment vs availed_PY'!E20+'enrolment vs availed_UPY'!E20</f>
        <v>0</v>
      </c>
      <c r="D20" s="301">
        <v>289</v>
      </c>
      <c r="E20" s="273">
        <f t="shared" si="0"/>
        <v>0</v>
      </c>
      <c r="F20" s="273">
        <f t="shared" si="1"/>
        <v>0</v>
      </c>
      <c r="G20" s="273"/>
      <c r="H20" s="273"/>
      <c r="I20" s="273">
        <f t="shared" si="2"/>
        <v>0</v>
      </c>
      <c r="J20" s="273">
        <f t="shared" si="3"/>
        <v>0</v>
      </c>
      <c r="K20" s="273">
        <f t="shared" si="4"/>
        <v>0</v>
      </c>
      <c r="L20" s="273">
        <f t="shared" si="5"/>
        <v>0</v>
      </c>
      <c r="M20" s="273">
        <f t="shared" si="6"/>
        <v>0</v>
      </c>
      <c r="N20" s="273">
        <f t="shared" si="7"/>
        <v>0</v>
      </c>
    </row>
    <row r="21" spans="1:14" ht="12.75">
      <c r="A21" s="272">
        <v>11</v>
      </c>
      <c r="B21" s="328" t="s">
        <v>880</v>
      </c>
      <c r="C21" s="273">
        <f>'enrolment vs availed_PY'!E21+'enrolment vs availed_UPY'!E21</f>
        <v>0</v>
      </c>
      <c r="D21" s="301">
        <v>289</v>
      </c>
      <c r="E21" s="273">
        <f t="shared" si="0"/>
        <v>0</v>
      </c>
      <c r="F21" s="273">
        <f t="shared" si="1"/>
        <v>0</v>
      </c>
      <c r="G21" s="273"/>
      <c r="H21" s="273"/>
      <c r="I21" s="273">
        <f t="shared" si="2"/>
        <v>0</v>
      </c>
      <c r="J21" s="273">
        <f t="shared" si="3"/>
        <v>0</v>
      </c>
      <c r="K21" s="273">
        <f t="shared" si="4"/>
        <v>0</v>
      </c>
      <c r="L21" s="273">
        <f t="shared" si="5"/>
        <v>0</v>
      </c>
      <c r="M21" s="273">
        <f t="shared" si="6"/>
        <v>0</v>
      </c>
      <c r="N21" s="273">
        <f t="shared" si="7"/>
        <v>0</v>
      </c>
    </row>
    <row r="22" spans="1:14" ht="12.75">
      <c r="A22" s="272">
        <v>12</v>
      </c>
      <c r="B22" s="328" t="s">
        <v>881</v>
      </c>
      <c r="C22" s="273">
        <f>'enrolment vs availed_PY'!E22+'enrolment vs availed_UPY'!E22</f>
        <v>0</v>
      </c>
      <c r="D22" s="301">
        <v>289</v>
      </c>
      <c r="E22" s="273">
        <f t="shared" si="0"/>
        <v>0</v>
      </c>
      <c r="F22" s="273">
        <f t="shared" si="1"/>
        <v>0</v>
      </c>
      <c r="G22" s="273"/>
      <c r="H22" s="273"/>
      <c r="I22" s="273">
        <f t="shared" si="2"/>
        <v>0</v>
      </c>
      <c r="J22" s="273">
        <f t="shared" si="3"/>
        <v>0</v>
      </c>
      <c r="K22" s="273">
        <f t="shared" si="4"/>
        <v>0</v>
      </c>
      <c r="L22" s="273">
        <f t="shared" si="5"/>
        <v>0</v>
      </c>
      <c r="M22" s="273">
        <f t="shared" si="6"/>
        <v>0</v>
      </c>
      <c r="N22" s="273">
        <f t="shared" si="7"/>
        <v>0</v>
      </c>
    </row>
    <row r="23" spans="1:14" ht="12.75">
      <c r="A23" s="272">
        <v>13</v>
      </c>
      <c r="B23" s="328" t="s">
        <v>882</v>
      </c>
      <c r="C23" s="273">
        <f>'enrolment vs availed_PY'!E23+'enrolment vs availed_UPY'!E23</f>
        <v>1400</v>
      </c>
      <c r="D23" s="301">
        <v>289</v>
      </c>
      <c r="E23" s="273">
        <f t="shared" si="0"/>
        <v>60.69</v>
      </c>
      <c r="F23" s="273">
        <f t="shared" si="1"/>
        <v>60.69</v>
      </c>
      <c r="G23" s="273"/>
      <c r="H23" s="273"/>
      <c r="I23" s="273">
        <f t="shared" si="2"/>
        <v>12.558000000000002</v>
      </c>
      <c r="J23" s="273">
        <f t="shared" si="3"/>
        <v>4.368</v>
      </c>
      <c r="K23" s="273">
        <f t="shared" si="4"/>
        <v>2.184</v>
      </c>
      <c r="L23" s="273">
        <f t="shared" si="5"/>
        <v>2.184</v>
      </c>
      <c r="M23" s="273">
        <f t="shared" si="6"/>
        <v>2.184</v>
      </c>
      <c r="N23" s="273">
        <f t="shared" si="7"/>
        <v>1.6380000000000001</v>
      </c>
    </row>
    <row r="24" spans="1:14" ht="12.75">
      <c r="A24" s="272">
        <v>14</v>
      </c>
      <c r="B24" s="328" t="s">
        <v>883</v>
      </c>
      <c r="C24" s="273">
        <f>'enrolment vs availed_PY'!E24+'enrolment vs availed_UPY'!E24</f>
        <v>0</v>
      </c>
      <c r="D24" s="301">
        <v>289</v>
      </c>
      <c r="E24" s="273">
        <f t="shared" si="0"/>
        <v>0</v>
      </c>
      <c r="F24" s="273">
        <f t="shared" si="1"/>
        <v>0</v>
      </c>
      <c r="G24" s="273">
        <v>0</v>
      </c>
      <c r="H24" s="273">
        <v>0</v>
      </c>
      <c r="I24" s="273">
        <f t="shared" si="2"/>
        <v>0</v>
      </c>
      <c r="J24" s="273">
        <f t="shared" si="3"/>
        <v>0</v>
      </c>
      <c r="K24" s="273">
        <f t="shared" si="4"/>
        <v>0</v>
      </c>
      <c r="L24" s="273">
        <f t="shared" si="5"/>
        <v>0</v>
      </c>
      <c r="M24" s="273">
        <f t="shared" si="6"/>
        <v>0</v>
      </c>
      <c r="N24" s="273">
        <f t="shared" si="7"/>
        <v>0</v>
      </c>
    </row>
    <row r="25" spans="1:14" ht="12.75">
      <c r="A25" s="272">
        <v>15</v>
      </c>
      <c r="B25" s="328" t="s">
        <v>884</v>
      </c>
      <c r="C25" s="273">
        <f>'enrolment vs availed_PY'!E25+'enrolment vs availed_UPY'!E25</f>
        <v>0</v>
      </c>
      <c r="D25" s="301">
        <v>289</v>
      </c>
      <c r="E25" s="273">
        <f t="shared" si="0"/>
        <v>0</v>
      </c>
      <c r="F25" s="273">
        <f t="shared" si="1"/>
        <v>0</v>
      </c>
      <c r="G25" s="273"/>
      <c r="H25" s="273"/>
      <c r="I25" s="273">
        <f t="shared" si="2"/>
        <v>0</v>
      </c>
      <c r="J25" s="273">
        <f t="shared" si="3"/>
        <v>0</v>
      </c>
      <c r="K25" s="273">
        <f t="shared" si="4"/>
        <v>0</v>
      </c>
      <c r="L25" s="273">
        <f t="shared" si="5"/>
        <v>0</v>
      </c>
      <c r="M25" s="273">
        <f t="shared" si="6"/>
        <v>0</v>
      </c>
      <c r="N25" s="273">
        <f t="shared" si="7"/>
        <v>0</v>
      </c>
    </row>
    <row r="26" spans="1:14" ht="12.75">
      <c r="A26" s="272">
        <v>16</v>
      </c>
      <c r="B26" s="328" t="s">
        <v>885</v>
      </c>
      <c r="C26" s="273">
        <f>'enrolment vs availed_PY'!E26+'enrolment vs availed_UPY'!E26</f>
        <v>0</v>
      </c>
      <c r="D26" s="301">
        <v>289</v>
      </c>
      <c r="E26" s="273">
        <f t="shared" si="0"/>
        <v>0</v>
      </c>
      <c r="F26" s="273">
        <f t="shared" si="1"/>
        <v>0</v>
      </c>
      <c r="G26" s="273"/>
      <c r="H26" s="273"/>
      <c r="I26" s="273">
        <f t="shared" si="2"/>
        <v>0</v>
      </c>
      <c r="J26" s="273">
        <f t="shared" si="3"/>
        <v>0</v>
      </c>
      <c r="K26" s="273">
        <f t="shared" si="4"/>
        <v>0</v>
      </c>
      <c r="L26" s="273">
        <f t="shared" si="5"/>
        <v>0</v>
      </c>
      <c r="M26" s="273">
        <f t="shared" si="6"/>
        <v>0</v>
      </c>
      <c r="N26" s="273">
        <f t="shared" si="7"/>
        <v>0</v>
      </c>
    </row>
    <row r="27" spans="1:14" ht="12.75">
      <c r="A27" s="272">
        <v>17</v>
      </c>
      <c r="B27" s="328" t="s">
        <v>886</v>
      </c>
      <c r="C27" s="273">
        <f>'enrolment vs availed_PY'!E27+'enrolment vs availed_UPY'!E27</f>
        <v>0</v>
      </c>
      <c r="D27" s="301">
        <v>289</v>
      </c>
      <c r="E27" s="273">
        <f t="shared" si="0"/>
        <v>0</v>
      </c>
      <c r="F27" s="273">
        <f t="shared" si="1"/>
        <v>0</v>
      </c>
      <c r="G27" s="273"/>
      <c r="H27" s="273"/>
      <c r="I27" s="273">
        <f t="shared" si="2"/>
        <v>0</v>
      </c>
      <c r="J27" s="273">
        <f t="shared" si="3"/>
        <v>0</v>
      </c>
      <c r="K27" s="273">
        <f t="shared" si="4"/>
        <v>0</v>
      </c>
      <c r="L27" s="273">
        <f t="shared" si="5"/>
        <v>0</v>
      </c>
      <c r="M27" s="273">
        <f t="shared" si="6"/>
        <v>0</v>
      </c>
      <c r="N27" s="273">
        <f t="shared" si="7"/>
        <v>0</v>
      </c>
    </row>
    <row r="28" spans="1:14" ht="12.75">
      <c r="A28" s="272">
        <v>18</v>
      </c>
      <c r="B28" s="328" t="s">
        <v>887</v>
      </c>
      <c r="C28" s="273">
        <f>'enrolment vs availed_PY'!E28+'enrolment vs availed_UPY'!E28</f>
        <v>0</v>
      </c>
      <c r="D28" s="301">
        <v>289</v>
      </c>
      <c r="E28" s="273">
        <f t="shared" si="0"/>
        <v>0</v>
      </c>
      <c r="F28" s="273">
        <f t="shared" si="1"/>
        <v>0</v>
      </c>
      <c r="G28" s="273"/>
      <c r="H28" s="273"/>
      <c r="I28" s="273">
        <f t="shared" si="2"/>
        <v>0</v>
      </c>
      <c r="J28" s="273">
        <f t="shared" si="3"/>
        <v>0</v>
      </c>
      <c r="K28" s="273">
        <f t="shared" si="4"/>
        <v>0</v>
      </c>
      <c r="L28" s="273">
        <f t="shared" si="5"/>
        <v>0</v>
      </c>
      <c r="M28" s="273">
        <f t="shared" si="6"/>
        <v>0</v>
      </c>
      <c r="N28" s="273">
        <f t="shared" si="7"/>
        <v>0</v>
      </c>
    </row>
    <row r="29" spans="1:14" ht="12.75">
      <c r="A29" s="272">
        <v>19</v>
      </c>
      <c r="B29" s="328" t="s">
        <v>888</v>
      </c>
      <c r="C29" s="273">
        <f>'enrolment vs availed_PY'!E29+'enrolment vs availed_UPY'!E29</f>
        <v>0</v>
      </c>
      <c r="D29" s="301">
        <v>289</v>
      </c>
      <c r="E29" s="273">
        <f t="shared" si="0"/>
        <v>0</v>
      </c>
      <c r="F29" s="273">
        <f t="shared" si="1"/>
        <v>0</v>
      </c>
      <c r="G29" s="273"/>
      <c r="H29" s="273"/>
      <c r="I29" s="273">
        <f t="shared" si="2"/>
        <v>0</v>
      </c>
      <c r="J29" s="273">
        <f t="shared" si="3"/>
        <v>0</v>
      </c>
      <c r="K29" s="273">
        <f t="shared" si="4"/>
        <v>0</v>
      </c>
      <c r="L29" s="273">
        <f t="shared" si="5"/>
        <v>0</v>
      </c>
      <c r="M29" s="273">
        <f t="shared" si="6"/>
        <v>0</v>
      </c>
      <c r="N29" s="273">
        <f t="shared" si="7"/>
        <v>0</v>
      </c>
    </row>
    <row r="30" spans="1:14" ht="12.75">
      <c r="A30" s="272">
        <v>20</v>
      </c>
      <c r="B30" s="328" t="s">
        <v>889</v>
      </c>
      <c r="C30" s="273">
        <f>'enrolment vs availed_PY'!E30+'enrolment vs availed_UPY'!E30</f>
        <v>0</v>
      </c>
      <c r="D30" s="301">
        <v>289</v>
      </c>
      <c r="E30" s="273">
        <f t="shared" si="0"/>
        <v>0</v>
      </c>
      <c r="F30" s="273">
        <f t="shared" si="1"/>
        <v>0</v>
      </c>
      <c r="G30" s="273"/>
      <c r="H30" s="273"/>
      <c r="I30" s="273">
        <f t="shared" si="2"/>
        <v>0</v>
      </c>
      <c r="J30" s="273">
        <f t="shared" si="3"/>
        <v>0</v>
      </c>
      <c r="K30" s="273">
        <f t="shared" si="4"/>
        <v>0</v>
      </c>
      <c r="L30" s="273">
        <f t="shared" si="5"/>
        <v>0</v>
      </c>
      <c r="M30" s="273">
        <f t="shared" si="6"/>
        <v>0</v>
      </c>
      <c r="N30" s="273">
        <f t="shared" si="7"/>
        <v>0</v>
      </c>
    </row>
    <row r="31" spans="1:14" ht="12.75">
      <c r="A31" s="272">
        <v>21</v>
      </c>
      <c r="B31" s="328" t="s">
        <v>890</v>
      </c>
      <c r="C31" s="273">
        <f>'enrolment vs availed_PY'!E31+'enrolment vs availed_UPY'!E31</f>
        <v>0</v>
      </c>
      <c r="D31" s="301">
        <v>289</v>
      </c>
      <c r="E31" s="273">
        <f t="shared" si="0"/>
        <v>0</v>
      </c>
      <c r="F31" s="273">
        <f t="shared" si="1"/>
        <v>0</v>
      </c>
      <c r="G31" s="273"/>
      <c r="H31" s="273"/>
      <c r="I31" s="273">
        <f t="shared" si="2"/>
        <v>0</v>
      </c>
      <c r="J31" s="273">
        <f t="shared" si="3"/>
        <v>0</v>
      </c>
      <c r="K31" s="273">
        <f t="shared" si="4"/>
        <v>0</v>
      </c>
      <c r="L31" s="273">
        <f t="shared" si="5"/>
        <v>0</v>
      </c>
      <c r="M31" s="273">
        <f t="shared" si="6"/>
        <v>0</v>
      </c>
      <c r="N31" s="273">
        <f t="shared" si="7"/>
        <v>0</v>
      </c>
    </row>
    <row r="32" spans="1:14" ht="12.75">
      <c r="A32" s="272">
        <v>22</v>
      </c>
      <c r="B32" s="328" t="s">
        <v>891</v>
      </c>
      <c r="C32" s="273">
        <f>'enrolment vs availed_PY'!E32+'enrolment vs availed_UPY'!E32</f>
        <v>0</v>
      </c>
      <c r="D32" s="301">
        <v>289</v>
      </c>
      <c r="E32" s="273">
        <f t="shared" si="0"/>
        <v>0</v>
      </c>
      <c r="F32" s="273">
        <f t="shared" si="1"/>
        <v>0</v>
      </c>
      <c r="G32" s="273"/>
      <c r="H32" s="273"/>
      <c r="I32" s="273">
        <f t="shared" si="2"/>
        <v>0</v>
      </c>
      <c r="J32" s="273">
        <f t="shared" si="3"/>
        <v>0</v>
      </c>
      <c r="K32" s="273">
        <f t="shared" si="4"/>
        <v>0</v>
      </c>
      <c r="L32" s="273">
        <f t="shared" si="5"/>
        <v>0</v>
      </c>
      <c r="M32" s="273">
        <f t="shared" si="6"/>
        <v>0</v>
      </c>
      <c r="N32" s="273">
        <f t="shared" si="7"/>
        <v>0</v>
      </c>
    </row>
    <row r="33" spans="1:14" ht="12.75">
      <c r="A33" s="272">
        <v>23</v>
      </c>
      <c r="B33" s="328" t="s">
        <v>892</v>
      </c>
      <c r="C33" s="273">
        <f>'enrolment vs availed_PY'!E33+'enrolment vs availed_UPY'!E33</f>
        <v>950</v>
      </c>
      <c r="D33" s="301">
        <v>289</v>
      </c>
      <c r="E33" s="273">
        <f t="shared" si="0"/>
        <v>41.1825</v>
      </c>
      <c r="F33" s="273">
        <f t="shared" si="1"/>
        <v>41.1825</v>
      </c>
      <c r="G33" s="273"/>
      <c r="H33" s="273"/>
      <c r="I33" s="273">
        <f t="shared" si="2"/>
        <v>8.5215</v>
      </c>
      <c r="J33" s="273">
        <f t="shared" si="3"/>
        <v>2.964</v>
      </c>
      <c r="K33" s="273">
        <f t="shared" si="4"/>
        <v>1.482</v>
      </c>
      <c r="L33" s="273">
        <f t="shared" si="5"/>
        <v>1.482</v>
      </c>
      <c r="M33" s="273">
        <f t="shared" si="6"/>
        <v>1.482</v>
      </c>
      <c r="N33" s="273">
        <f t="shared" si="7"/>
        <v>1.1115</v>
      </c>
    </row>
    <row r="34" spans="1:14" ht="12.75">
      <c r="A34" s="272">
        <v>24</v>
      </c>
      <c r="B34" s="328" t="s">
        <v>893</v>
      </c>
      <c r="C34" s="273">
        <f>'enrolment vs availed_PY'!E34+'enrolment vs availed_UPY'!E34</f>
        <v>0</v>
      </c>
      <c r="D34" s="301">
        <v>289</v>
      </c>
      <c r="E34" s="273">
        <f t="shared" si="0"/>
        <v>0</v>
      </c>
      <c r="F34" s="273">
        <f t="shared" si="1"/>
        <v>0</v>
      </c>
      <c r="G34" s="273"/>
      <c r="H34" s="273"/>
      <c r="I34" s="273">
        <f t="shared" si="2"/>
        <v>0</v>
      </c>
      <c r="J34" s="273">
        <f t="shared" si="3"/>
        <v>0</v>
      </c>
      <c r="K34" s="273">
        <f t="shared" si="4"/>
        <v>0</v>
      </c>
      <c r="L34" s="273">
        <f t="shared" si="5"/>
        <v>0</v>
      </c>
      <c r="M34" s="273">
        <f t="shared" si="6"/>
        <v>0</v>
      </c>
      <c r="N34" s="273">
        <f t="shared" si="7"/>
        <v>0</v>
      </c>
    </row>
    <row r="35" spans="1:14" ht="12.75">
      <c r="A35" s="272">
        <v>25</v>
      </c>
      <c r="B35" s="328" t="s">
        <v>894</v>
      </c>
      <c r="C35" s="273">
        <f>'enrolment vs availed_PY'!E35+'enrolment vs availed_UPY'!E35</f>
        <v>0</v>
      </c>
      <c r="D35" s="301">
        <v>289</v>
      </c>
      <c r="E35" s="273">
        <f t="shared" si="0"/>
        <v>0</v>
      </c>
      <c r="F35" s="273">
        <f t="shared" si="1"/>
        <v>0</v>
      </c>
      <c r="G35" s="273"/>
      <c r="H35" s="273"/>
      <c r="I35" s="273">
        <f t="shared" si="2"/>
        <v>0</v>
      </c>
      <c r="J35" s="273">
        <f t="shared" si="3"/>
        <v>0</v>
      </c>
      <c r="K35" s="273">
        <f t="shared" si="4"/>
        <v>0</v>
      </c>
      <c r="L35" s="273">
        <f t="shared" si="5"/>
        <v>0</v>
      </c>
      <c r="M35" s="273">
        <f t="shared" si="6"/>
        <v>0</v>
      </c>
      <c r="N35" s="273">
        <f t="shared" si="7"/>
        <v>0</v>
      </c>
    </row>
    <row r="36" spans="1:14" ht="12.75">
      <c r="A36" s="272">
        <v>26</v>
      </c>
      <c r="B36" s="328" t="s">
        <v>895</v>
      </c>
      <c r="C36" s="273">
        <f>'enrolment vs availed_PY'!E36+'enrolment vs availed_UPY'!E36</f>
        <v>0</v>
      </c>
      <c r="D36" s="301">
        <v>289</v>
      </c>
      <c r="E36" s="273">
        <f t="shared" si="0"/>
        <v>0</v>
      </c>
      <c r="F36" s="273">
        <f t="shared" si="1"/>
        <v>0</v>
      </c>
      <c r="G36" s="273"/>
      <c r="H36" s="273"/>
      <c r="I36" s="273">
        <f t="shared" si="2"/>
        <v>0</v>
      </c>
      <c r="J36" s="273">
        <f t="shared" si="3"/>
        <v>0</v>
      </c>
      <c r="K36" s="273">
        <f t="shared" si="4"/>
        <v>0</v>
      </c>
      <c r="L36" s="273">
        <f t="shared" si="5"/>
        <v>0</v>
      </c>
      <c r="M36" s="273">
        <f t="shared" si="6"/>
        <v>0</v>
      </c>
      <c r="N36" s="273">
        <f t="shared" si="7"/>
        <v>0</v>
      </c>
    </row>
    <row r="37" spans="1:14" ht="12.75">
      <c r="A37" s="272">
        <v>27</v>
      </c>
      <c r="B37" s="328" t="s">
        <v>896</v>
      </c>
      <c r="C37" s="273">
        <f>'enrolment vs availed_PY'!E37+'enrolment vs availed_UPY'!E37</f>
        <v>175</v>
      </c>
      <c r="D37" s="301">
        <v>289</v>
      </c>
      <c r="E37" s="273">
        <f t="shared" si="0"/>
        <v>7.58625</v>
      </c>
      <c r="F37" s="273">
        <f t="shared" si="1"/>
        <v>7.58625</v>
      </c>
      <c r="G37" s="273"/>
      <c r="H37" s="273"/>
      <c r="I37" s="273">
        <f t="shared" si="2"/>
        <v>1.5697500000000002</v>
      </c>
      <c r="J37" s="273">
        <f t="shared" si="3"/>
        <v>0.546</v>
      </c>
      <c r="K37" s="273">
        <f t="shared" si="4"/>
        <v>0.273</v>
      </c>
      <c r="L37" s="273">
        <f t="shared" si="5"/>
        <v>0.273</v>
      </c>
      <c r="M37" s="273">
        <f t="shared" si="6"/>
        <v>0.273</v>
      </c>
      <c r="N37" s="273">
        <f t="shared" si="7"/>
        <v>0.20475000000000002</v>
      </c>
    </row>
    <row r="38" spans="1:14" ht="12.75">
      <c r="A38" s="272">
        <v>28</v>
      </c>
      <c r="B38" s="328" t="s">
        <v>897</v>
      </c>
      <c r="C38" s="273">
        <f>'enrolment vs availed_PY'!E38+'enrolment vs availed_UPY'!E38</f>
        <v>0</v>
      </c>
      <c r="D38" s="301">
        <v>289</v>
      </c>
      <c r="E38" s="273">
        <f t="shared" si="0"/>
        <v>0</v>
      </c>
      <c r="F38" s="273">
        <f t="shared" si="1"/>
        <v>0</v>
      </c>
      <c r="G38" s="273">
        <v>0</v>
      </c>
      <c r="H38" s="273">
        <v>0</v>
      </c>
      <c r="I38" s="273">
        <f t="shared" si="2"/>
        <v>0</v>
      </c>
      <c r="J38" s="273">
        <f t="shared" si="3"/>
        <v>0</v>
      </c>
      <c r="K38" s="273">
        <f t="shared" si="4"/>
        <v>0</v>
      </c>
      <c r="L38" s="273">
        <f t="shared" si="5"/>
        <v>0</v>
      </c>
      <c r="M38" s="273">
        <f t="shared" si="6"/>
        <v>0</v>
      </c>
      <c r="N38" s="273">
        <f t="shared" si="7"/>
        <v>0</v>
      </c>
    </row>
    <row r="39" spans="1:14" ht="12.75">
      <c r="A39" s="272">
        <v>29</v>
      </c>
      <c r="B39" s="328" t="s">
        <v>898</v>
      </c>
      <c r="C39" s="273">
        <f>'enrolment vs availed_PY'!E39+'enrolment vs availed_UPY'!E39</f>
        <v>0</v>
      </c>
      <c r="D39" s="301">
        <v>289</v>
      </c>
      <c r="E39" s="273">
        <f t="shared" si="0"/>
        <v>0</v>
      </c>
      <c r="F39" s="273">
        <f t="shared" si="1"/>
        <v>0</v>
      </c>
      <c r="G39" s="273">
        <v>0</v>
      </c>
      <c r="H39" s="273">
        <v>0</v>
      </c>
      <c r="I39" s="273">
        <f t="shared" si="2"/>
        <v>0</v>
      </c>
      <c r="J39" s="273">
        <f t="shared" si="3"/>
        <v>0</v>
      </c>
      <c r="K39" s="273">
        <f t="shared" si="4"/>
        <v>0</v>
      </c>
      <c r="L39" s="273">
        <f t="shared" si="5"/>
        <v>0</v>
      </c>
      <c r="M39" s="273">
        <f t="shared" si="6"/>
        <v>0</v>
      </c>
      <c r="N39" s="273">
        <f t="shared" si="7"/>
        <v>0</v>
      </c>
    </row>
    <row r="40" spans="1:14" ht="12.75">
      <c r="A40" s="272">
        <v>30</v>
      </c>
      <c r="B40" s="328" t="s">
        <v>899</v>
      </c>
      <c r="C40" s="273">
        <f>'enrolment vs availed_PY'!E40+'enrolment vs availed_UPY'!E40</f>
        <v>0</v>
      </c>
      <c r="D40" s="301">
        <v>289</v>
      </c>
      <c r="E40" s="273">
        <f t="shared" si="0"/>
        <v>0</v>
      </c>
      <c r="F40" s="273">
        <f t="shared" si="1"/>
        <v>0</v>
      </c>
      <c r="G40" s="273"/>
      <c r="H40" s="273"/>
      <c r="I40" s="273">
        <f t="shared" si="2"/>
        <v>0</v>
      </c>
      <c r="J40" s="273">
        <f t="shared" si="3"/>
        <v>0</v>
      </c>
      <c r="K40" s="273">
        <f t="shared" si="4"/>
        <v>0</v>
      </c>
      <c r="L40" s="273">
        <f t="shared" si="5"/>
        <v>0</v>
      </c>
      <c r="M40" s="273">
        <f t="shared" si="6"/>
        <v>0</v>
      </c>
      <c r="N40" s="273">
        <f t="shared" si="7"/>
        <v>0</v>
      </c>
    </row>
    <row r="41" spans="1:14" ht="12.75">
      <c r="A41" s="272">
        <v>31</v>
      </c>
      <c r="B41" s="328" t="s">
        <v>900</v>
      </c>
      <c r="C41" s="273">
        <f>'enrolment vs availed_PY'!E41+'enrolment vs availed_UPY'!E41</f>
        <v>1284</v>
      </c>
      <c r="D41" s="301">
        <v>289</v>
      </c>
      <c r="E41" s="273">
        <f t="shared" si="0"/>
        <v>55.66139999999999</v>
      </c>
      <c r="F41" s="273">
        <f t="shared" si="1"/>
        <v>55.66139999999999</v>
      </c>
      <c r="G41" s="273"/>
      <c r="H41" s="273"/>
      <c r="I41" s="273">
        <f t="shared" si="2"/>
        <v>11.51748</v>
      </c>
      <c r="J41" s="273">
        <f t="shared" si="3"/>
        <v>4.00608</v>
      </c>
      <c r="K41" s="273">
        <f t="shared" si="4"/>
        <v>2.00304</v>
      </c>
      <c r="L41" s="273">
        <f t="shared" si="5"/>
        <v>2.00304</v>
      </c>
      <c r="M41" s="273">
        <f t="shared" si="6"/>
        <v>2.00304</v>
      </c>
      <c r="N41" s="273">
        <f t="shared" si="7"/>
        <v>1.50228</v>
      </c>
    </row>
    <row r="42" spans="1:14" ht="12.75">
      <c r="A42" s="272">
        <v>32</v>
      </c>
      <c r="B42" s="328" t="s">
        <v>901</v>
      </c>
      <c r="C42" s="273">
        <f>'enrolment vs availed_PY'!E42+'enrolment vs availed_UPY'!E42</f>
        <v>0</v>
      </c>
      <c r="D42" s="301">
        <v>289</v>
      </c>
      <c r="E42" s="273">
        <f t="shared" si="0"/>
        <v>0</v>
      </c>
      <c r="F42" s="273">
        <f t="shared" si="1"/>
        <v>0</v>
      </c>
      <c r="G42" s="273">
        <v>0</v>
      </c>
      <c r="H42" s="273">
        <v>0</v>
      </c>
      <c r="I42" s="273">
        <f t="shared" si="2"/>
        <v>0</v>
      </c>
      <c r="J42" s="273">
        <f t="shared" si="3"/>
        <v>0</v>
      </c>
      <c r="K42" s="273">
        <f t="shared" si="4"/>
        <v>0</v>
      </c>
      <c r="L42" s="273">
        <f t="shared" si="5"/>
        <v>0</v>
      </c>
      <c r="M42" s="273">
        <f t="shared" si="6"/>
        <v>0</v>
      </c>
      <c r="N42" s="273">
        <f t="shared" si="7"/>
        <v>0</v>
      </c>
    </row>
    <row r="43" spans="1:14" ht="12.75">
      <c r="A43" s="272">
        <v>33</v>
      </c>
      <c r="B43" s="328" t="s">
        <v>902</v>
      </c>
      <c r="C43" s="273">
        <f>'enrolment vs availed_PY'!E43+'enrolment vs availed_UPY'!E43</f>
        <v>0</v>
      </c>
      <c r="D43" s="301">
        <v>289</v>
      </c>
      <c r="E43" s="273">
        <f t="shared" si="0"/>
        <v>0</v>
      </c>
      <c r="F43" s="273">
        <f t="shared" si="1"/>
        <v>0</v>
      </c>
      <c r="G43" s="273"/>
      <c r="H43" s="273"/>
      <c r="I43" s="273">
        <f t="shared" si="2"/>
        <v>0</v>
      </c>
      <c r="J43" s="273">
        <f t="shared" si="3"/>
        <v>0</v>
      </c>
      <c r="K43" s="273">
        <f t="shared" si="4"/>
        <v>0</v>
      </c>
      <c r="L43" s="273">
        <f t="shared" si="5"/>
        <v>0</v>
      </c>
      <c r="M43" s="273">
        <f t="shared" si="6"/>
        <v>0</v>
      </c>
      <c r="N43" s="273">
        <f t="shared" si="7"/>
        <v>0</v>
      </c>
    </row>
    <row r="44" spans="1:14" ht="12.75">
      <c r="A44" s="272">
        <v>34</v>
      </c>
      <c r="B44" s="328" t="s">
        <v>903</v>
      </c>
      <c r="C44" s="273">
        <f>'enrolment vs availed_PY'!E44+'enrolment vs availed_UPY'!E44</f>
        <v>0</v>
      </c>
      <c r="D44" s="301">
        <v>289</v>
      </c>
      <c r="E44" s="273">
        <f t="shared" si="0"/>
        <v>0</v>
      </c>
      <c r="F44" s="273">
        <f t="shared" si="1"/>
        <v>0</v>
      </c>
      <c r="G44" s="273"/>
      <c r="H44" s="273"/>
      <c r="I44" s="273">
        <f t="shared" si="2"/>
        <v>0</v>
      </c>
      <c r="J44" s="273">
        <f t="shared" si="3"/>
        <v>0</v>
      </c>
      <c r="K44" s="273">
        <f t="shared" si="4"/>
        <v>0</v>
      </c>
      <c r="L44" s="273">
        <f t="shared" si="5"/>
        <v>0</v>
      </c>
      <c r="M44" s="273">
        <f t="shared" si="6"/>
        <v>0</v>
      </c>
      <c r="N44" s="273">
        <f t="shared" si="7"/>
        <v>0</v>
      </c>
    </row>
    <row r="45" spans="1:14" ht="12.75">
      <c r="A45" s="272">
        <v>35</v>
      </c>
      <c r="B45" s="328" t="s">
        <v>904</v>
      </c>
      <c r="C45" s="273">
        <f>'enrolment vs availed_PY'!E45+'enrolment vs availed_UPY'!E45</f>
        <v>0</v>
      </c>
      <c r="D45" s="301">
        <v>289</v>
      </c>
      <c r="E45" s="273">
        <f t="shared" si="0"/>
        <v>0</v>
      </c>
      <c r="F45" s="273">
        <f t="shared" si="1"/>
        <v>0</v>
      </c>
      <c r="G45" s="273"/>
      <c r="H45" s="273">
        <v>0</v>
      </c>
      <c r="I45" s="273">
        <f t="shared" si="2"/>
        <v>0</v>
      </c>
      <c r="J45" s="273">
        <f t="shared" si="3"/>
        <v>0</v>
      </c>
      <c r="K45" s="273">
        <f t="shared" si="4"/>
        <v>0</v>
      </c>
      <c r="L45" s="273">
        <f t="shared" si="5"/>
        <v>0</v>
      </c>
      <c r="M45" s="273">
        <f t="shared" si="6"/>
        <v>0</v>
      </c>
      <c r="N45" s="273">
        <f t="shared" si="7"/>
        <v>0</v>
      </c>
    </row>
    <row r="46" spans="1:14" ht="12.75">
      <c r="A46" s="272" t="s">
        <v>19</v>
      </c>
      <c r="B46" s="273"/>
      <c r="C46" s="273">
        <f>SUM(C11:C45)</f>
        <v>5589</v>
      </c>
      <c r="D46" s="273"/>
      <c r="E46" s="273">
        <f aca="true" t="shared" si="8" ref="D46:I46">SUM(E11:E45)</f>
        <v>242.28314999999998</v>
      </c>
      <c r="F46" s="273">
        <f t="shared" si="8"/>
        <v>242.28314999999998</v>
      </c>
      <c r="G46" s="273">
        <f t="shared" si="8"/>
        <v>0</v>
      </c>
      <c r="H46" s="273">
        <f t="shared" si="8"/>
        <v>0</v>
      </c>
      <c r="I46" s="273">
        <f t="shared" si="8"/>
        <v>50.133329999999994</v>
      </c>
      <c r="J46" s="273">
        <f t="shared" si="3"/>
        <v>17.43768</v>
      </c>
      <c r="K46" s="273">
        <f t="shared" si="4"/>
        <v>8.71884</v>
      </c>
      <c r="L46" s="273">
        <f t="shared" si="5"/>
        <v>8.71884</v>
      </c>
      <c r="M46" s="273">
        <f t="shared" si="6"/>
        <v>8.71884</v>
      </c>
      <c r="N46" s="273">
        <f t="shared" si="7"/>
        <v>6.53913</v>
      </c>
    </row>
    <row r="47" spans="1:14" ht="12.75">
      <c r="A47" s="274"/>
      <c r="B47" s="274"/>
      <c r="C47" s="274"/>
      <c r="D47" s="274"/>
      <c r="E47" s="271"/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ht="12.75">
      <c r="A48" s="275"/>
      <c r="B48" s="276"/>
      <c r="C48" s="276"/>
      <c r="D48" s="274"/>
      <c r="E48" s="271"/>
      <c r="F48" s="271"/>
      <c r="G48" s="271"/>
      <c r="H48" s="271"/>
      <c r="I48" s="271"/>
      <c r="J48" s="271"/>
      <c r="K48" s="271"/>
      <c r="L48" s="271"/>
      <c r="M48" s="271"/>
      <c r="N48" s="271"/>
    </row>
    <row r="49" spans="1:14" ht="12.75">
      <c r="A49" s="277"/>
      <c r="B49" s="277"/>
      <c r="C49" s="277"/>
      <c r="E49" s="271"/>
      <c r="F49" s="271"/>
      <c r="G49" s="271"/>
      <c r="H49" s="271"/>
      <c r="I49" s="271"/>
      <c r="J49" s="271"/>
      <c r="K49" s="271"/>
      <c r="L49" s="271"/>
      <c r="M49" s="271"/>
      <c r="N49" s="271"/>
    </row>
    <row r="50" spans="1:14" ht="12.75">
      <c r="A50" s="277"/>
      <c r="B50" s="277"/>
      <c r="C50" s="277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1:14" ht="12.75" customHeight="1">
      <c r="A51" s="277"/>
      <c r="B51" s="277"/>
      <c r="C51" s="748" t="s">
        <v>1021</v>
      </c>
      <c r="D51" s="748"/>
      <c r="E51" s="748"/>
      <c r="F51" s="748"/>
      <c r="G51" s="607"/>
      <c r="H51" s="607"/>
      <c r="I51" s="271"/>
      <c r="J51" s="271"/>
      <c r="K51" s="748" t="s">
        <v>1024</v>
      </c>
      <c r="L51" s="748"/>
      <c r="M51" s="748"/>
      <c r="N51" s="748"/>
    </row>
    <row r="52" spans="1:14" ht="12.75" customHeight="1">
      <c r="A52" s="277"/>
      <c r="B52" s="277"/>
      <c r="C52" s="748" t="s">
        <v>1022</v>
      </c>
      <c r="D52" s="748"/>
      <c r="E52" s="748"/>
      <c r="F52" s="748"/>
      <c r="G52" s="607"/>
      <c r="H52" s="607"/>
      <c r="I52" s="271"/>
      <c r="J52" s="271"/>
      <c r="K52" s="748" t="s">
        <v>1025</v>
      </c>
      <c r="L52" s="748"/>
      <c r="M52" s="748"/>
      <c r="N52" s="748"/>
    </row>
    <row r="53" spans="1:14" ht="12.75">
      <c r="A53" s="277" t="s">
        <v>12</v>
      </c>
      <c r="C53" s="735" t="s">
        <v>1023</v>
      </c>
      <c r="D53" s="735"/>
      <c r="E53" s="735"/>
      <c r="F53" s="735"/>
      <c r="G53" s="607"/>
      <c r="H53" s="607"/>
      <c r="I53" s="271"/>
      <c r="J53" s="271"/>
      <c r="K53" s="735" t="s">
        <v>1023</v>
      </c>
      <c r="L53" s="735"/>
      <c r="M53" s="735"/>
      <c r="N53" s="735"/>
    </row>
    <row r="54" spans="3:14" ht="12.75" customHeight="1">
      <c r="C54"/>
      <c r="D54"/>
      <c r="E54"/>
      <c r="F54"/>
      <c r="G54"/>
      <c r="H54"/>
      <c r="I54" s="601"/>
      <c r="J54" s="601"/>
      <c r="K54" s="601"/>
      <c r="L54" s="601"/>
      <c r="M54" s="601"/>
      <c r="N54" s="601"/>
    </row>
    <row r="55" spans="5:14" ht="12.75" customHeight="1">
      <c r="E55" s="601"/>
      <c r="F55" s="601"/>
      <c r="G55" s="601"/>
      <c r="H55" s="601"/>
      <c r="I55" s="601"/>
      <c r="J55" s="601"/>
      <c r="K55" s="601"/>
      <c r="L55" s="601"/>
      <c r="M55" s="601"/>
      <c r="N55" s="601"/>
    </row>
    <row r="56" spans="1:14" ht="12.75">
      <c r="A56" s="277"/>
      <c r="B56" s="277"/>
      <c r="E56" s="271"/>
      <c r="F56" s="277"/>
      <c r="G56" s="277"/>
      <c r="H56" s="277"/>
      <c r="I56" s="277"/>
      <c r="J56" s="277"/>
      <c r="K56" s="277"/>
      <c r="L56" s="277"/>
      <c r="M56" s="277"/>
      <c r="N56" s="277"/>
    </row>
    <row r="58" spans="1:14" ht="12.75">
      <c r="A58" s="1021"/>
      <c r="B58" s="1021"/>
      <c r="C58" s="1021"/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</row>
  </sheetData>
  <sheetProtection/>
  <mergeCells count="20">
    <mergeCell ref="A58:N58"/>
    <mergeCell ref="C8:C9"/>
    <mergeCell ref="H7:N7"/>
    <mergeCell ref="A8:A9"/>
    <mergeCell ref="B8:B9"/>
    <mergeCell ref="D8:D9"/>
    <mergeCell ref="E8:H8"/>
    <mergeCell ref="I8:N8"/>
    <mergeCell ref="C51:F51"/>
    <mergeCell ref="K51:N51"/>
    <mergeCell ref="C52:F52"/>
    <mergeCell ref="K52:N52"/>
    <mergeCell ref="C53:F53"/>
    <mergeCell ref="K53:N53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31" bottom="0" header="0.26" footer="0.31496062992125984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90" zoomScaleNormal="90" zoomScaleSheetLayoutView="80" zoomScalePageLayoutView="0" workbookViewId="0" topLeftCell="A13">
      <selection activeCell="N29" sqref="N29:R31"/>
    </sheetView>
  </sheetViews>
  <sheetFormatPr defaultColWidth="9.140625" defaultRowHeight="12.75"/>
  <cols>
    <col min="1" max="1" width="7.28125" style="185" customWidth="1"/>
    <col min="2" max="2" width="26.00390625" style="185" customWidth="1"/>
    <col min="3" max="3" width="11.140625" style="185" customWidth="1"/>
    <col min="4" max="5" width="8.28125" style="185" customWidth="1"/>
    <col min="6" max="6" width="16.00390625" style="185" customWidth="1"/>
    <col min="7" max="9" width="10.7109375" style="185" customWidth="1"/>
    <col min="10" max="10" width="13.140625" style="185" customWidth="1"/>
    <col min="11" max="13" width="9.140625" style="185" customWidth="1"/>
    <col min="14" max="14" width="12.8515625" style="185" bestFit="1" customWidth="1"/>
    <col min="15" max="18" width="9.140625" style="185" customWidth="1"/>
    <col min="19" max="20" width="8.8515625" style="185" customWidth="1"/>
    <col min="21" max="21" width="13.140625" style="185" customWidth="1"/>
    <col min="22" max="23" width="9.421875" style="185" bestFit="1" customWidth="1"/>
    <col min="24" max="24" width="12.8515625" style="185" customWidth="1"/>
    <col min="25" max="26" width="9.421875" style="185" bestFit="1" customWidth="1"/>
    <col min="27" max="27" width="14.28125" style="185" customWidth="1"/>
    <col min="28" max="28" width="13.7109375" style="185" bestFit="1" customWidth="1"/>
    <col min="29" max="29" width="11.8515625" style="185" bestFit="1" customWidth="1"/>
    <col min="30" max="30" width="11.57421875" style="185" customWidth="1"/>
    <col min="31" max="31" width="10.421875" style="185" bestFit="1" customWidth="1"/>
    <col min="32" max="16384" width="9.140625" style="185" customWidth="1"/>
  </cols>
  <sheetData>
    <row r="1" ht="15">
      <c r="V1" s="186" t="s">
        <v>560</v>
      </c>
    </row>
    <row r="2" spans="7:18" ht="15.75">
      <c r="G2" s="126" t="s">
        <v>0</v>
      </c>
      <c r="H2" s="126"/>
      <c r="I2" s="126"/>
      <c r="O2" s="87"/>
      <c r="P2" s="87"/>
      <c r="Q2" s="87"/>
      <c r="R2" s="87"/>
    </row>
    <row r="3" spans="3:24" ht="20.25">
      <c r="C3" s="776" t="s">
        <v>656</v>
      </c>
      <c r="D3" s="776"/>
      <c r="E3" s="776"/>
      <c r="F3" s="776"/>
      <c r="G3" s="776"/>
      <c r="H3" s="776"/>
      <c r="I3" s="776"/>
      <c r="J3" s="776"/>
      <c r="K3" s="776"/>
      <c r="L3" s="776"/>
      <c r="M3" s="776"/>
      <c r="N3" s="776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3:22" ht="18"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2:22" ht="15.75">
      <c r="B5" s="777" t="s">
        <v>659</v>
      </c>
      <c r="C5" s="777"/>
      <c r="D5" s="777"/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88"/>
      <c r="U5" s="778" t="s">
        <v>261</v>
      </c>
      <c r="V5" s="779"/>
    </row>
    <row r="6" spans="11:18" ht="15">
      <c r="K6" s="87"/>
      <c r="L6" s="87"/>
      <c r="M6" s="87"/>
      <c r="N6" s="87"/>
      <c r="O6" s="87"/>
      <c r="P6" s="87"/>
      <c r="Q6" s="87"/>
      <c r="R6" s="87"/>
    </row>
    <row r="7" spans="1:22" ht="12.75">
      <c r="A7" s="736" t="s">
        <v>1004</v>
      </c>
      <c r="B7" s="736"/>
      <c r="C7" s="736"/>
      <c r="D7" s="36" t="s">
        <v>1005</v>
      </c>
      <c r="E7" s="36"/>
      <c r="F7" s="15"/>
      <c r="O7" s="780" t="s">
        <v>819</v>
      </c>
      <c r="P7" s="780"/>
      <c r="Q7" s="780"/>
      <c r="R7" s="780"/>
      <c r="S7" s="780"/>
      <c r="T7" s="780"/>
      <c r="U7" s="780"/>
      <c r="V7" s="780"/>
    </row>
    <row r="8" spans="1:22" ht="35.25" customHeight="1">
      <c r="A8" s="781" t="s">
        <v>2</v>
      </c>
      <c r="B8" s="781" t="s">
        <v>148</v>
      </c>
      <c r="C8" s="797" t="s">
        <v>149</v>
      </c>
      <c r="D8" s="797"/>
      <c r="E8" s="797"/>
      <c r="F8" s="797" t="s">
        <v>150</v>
      </c>
      <c r="G8" s="781" t="s">
        <v>180</v>
      </c>
      <c r="H8" s="781"/>
      <c r="I8" s="781"/>
      <c r="J8" s="781"/>
      <c r="K8" s="781"/>
      <c r="L8" s="781"/>
      <c r="M8" s="781"/>
      <c r="N8" s="781"/>
      <c r="O8" s="781" t="s">
        <v>181</v>
      </c>
      <c r="P8" s="781"/>
      <c r="Q8" s="781"/>
      <c r="R8" s="781"/>
      <c r="S8" s="781"/>
      <c r="T8" s="781"/>
      <c r="U8" s="781"/>
      <c r="V8" s="781"/>
    </row>
    <row r="9" spans="1:22" ht="15">
      <c r="A9" s="781"/>
      <c r="B9" s="781"/>
      <c r="C9" s="797" t="s">
        <v>262</v>
      </c>
      <c r="D9" s="797" t="s">
        <v>43</v>
      </c>
      <c r="E9" s="797" t="s">
        <v>44</v>
      </c>
      <c r="F9" s="797"/>
      <c r="G9" s="781" t="s">
        <v>182</v>
      </c>
      <c r="H9" s="781"/>
      <c r="I9" s="781"/>
      <c r="J9" s="781"/>
      <c r="K9" s="781" t="s">
        <v>166</v>
      </c>
      <c r="L9" s="781"/>
      <c r="M9" s="781"/>
      <c r="N9" s="781"/>
      <c r="O9" s="781" t="s">
        <v>151</v>
      </c>
      <c r="P9" s="781"/>
      <c r="Q9" s="781"/>
      <c r="R9" s="781"/>
      <c r="S9" s="781" t="s">
        <v>165</v>
      </c>
      <c r="T9" s="781"/>
      <c r="U9" s="781"/>
      <c r="V9" s="781"/>
    </row>
    <row r="10" spans="1:22" ht="12.75">
      <c r="A10" s="781"/>
      <c r="B10" s="781"/>
      <c r="C10" s="797"/>
      <c r="D10" s="797"/>
      <c r="E10" s="797"/>
      <c r="F10" s="797"/>
      <c r="G10" s="791" t="s">
        <v>152</v>
      </c>
      <c r="H10" s="792"/>
      <c r="I10" s="793"/>
      <c r="J10" s="782" t="s">
        <v>153</v>
      </c>
      <c r="K10" s="785" t="s">
        <v>152</v>
      </c>
      <c r="L10" s="786"/>
      <c r="M10" s="787"/>
      <c r="N10" s="782" t="s">
        <v>153</v>
      </c>
      <c r="O10" s="785" t="s">
        <v>152</v>
      </c>
      <c r="P10" s="786"/>
      <c r="Q10" s="787"/>
      <c r="R10" s="782" t="s">
        <v>153</v>
      </c>
      <c r="S10" s="785" t="s">
        <v>152</v>
      </c>
      <c r="T10" s="786"/>
      <c r="U10" s="787"/>
      <c r="V10" s="782" t="s">
        <v>153</v>
      </c>
    </row>
    <row r="11" spans="1:22" ht="15" customHeight="1">
      <c r="A11" s="781"/>
      <c r="B11" s="781"/>
      <c r="C11" s="797"/>
      <c r="D11" s="797"/>
      <c r="E11" s="797"/>
      <c r="F11" s="797"/>
      <c r="G11" s="794"/>
      <c r="H11" s="795"/>
      <c r="I11" s="796"/>
      <c r="J11" s="783"/>
      <c r="K11" s="788"/>
      <c r="L11" s="789"/>
      <c r="M11" s="790"/>
      <c r="N11" s="783"/>
      <c r="O11" s="788"/>
      <c r="P11" s="789"/>
      <c r="Q11" s="790"/>
      <c r="R11" s="783"/>
      <c r="S11" s="788"/>
      <c r="T11" s="789"/>
      <c r="U11" s="790"/>
      <c r="V11" s="783"/>
    </row>
    <row r="12" spans="1:22" ht="15">
      <c r="A12" s="781"/>
      <c r="B12" s="781"/>
      <c r="C12" s="797"/>
      <c r="D12" s="797"/>
      <c r="E12" s="797"/>
      <c r="F12" s="797"/>
      <c r="G12" s="189" t="s">
        <v>262</v>
      </c>
      <c r="H12" s="189" t="s">
        <v>43</v>
      </c>
      <c r="I12" s="190" t="s">
        <v>44</v>
      </c>
      <c r="J12" s="784"/>
      <c r="K12" s="188" t="s">
        <v>262</v>
      </c>
      <c r="L12" s="188" t="s">
        <v>43</v>
      </c>
      <c r="M12" s="188" t="s">
        <v>44</v>
      </c>
      <c r="N12" s="784"/>
      <c r="O12" s="188" t="s">
        <v>262</v>
      </c>
      <c r="P12" s="188" t="s">
        <v>43</v>
      </c>
      <c r="Q12" s="188" t="s">
        <v>44</v>
      </c>
      <c r="R12" s="784"/>
      <c r="S12" s="188" t="s">
        <v>262</v>
      </c>
      <c r="T12" s="188" t="s">
        <v>43</v>
      </c>
      <c r="U12" s="188" t="s">
        <v>44</v>
      </c>
      <c r="V12" s="784"/>
    </row>
    <row r="13" spans="1:22" ht="15">
      <c r="A13" s="188">
        <v>1</v>
      </c>
      <c r="B13" s="188">
        <v>2</v>
      </c>
      <c r="C13" s="188">
        <v>3</v>
      </c>
      <c r="D13" s="188">
        <v>4</v>
      </c>
      <c r="E13" s="188">
        <v>5</v>
      </c>
      <c r="F13" s="188">
        <v>6</v>
      </c>
      <c r="G13" s="188">
        <v>7</v>
      </c>
      <c r="H13" s="188">
        <v>8</v>
      </c>
      <c r="I13" s="188">
        <v>9</v>
      </c>
      <c r="J13" s="188">
        <v>10</v>
      </c>
      <c r="K13" s="188">
        <v>11</v>
      </c>
      <c r="L13" s="188">
        <v>12</v>
      </c>
      <c r="M13" s="188">
        <v>13</v>
      </c>
      <c r="N13" s="188">
        <v>14</v>
      </c>
      <c r="O13" s="188">
        <v>15</v>
      </c>
      <c r="P13" s="188">
        <v>16</v>
      </c>
      <c r="Q13" s="188">
        <v>17</v>
      </c>
      <c r="R13" s="188">
        <v>18</v>
      </c>
      <c r="S13" s="188">
        <v>19</v>
      </c>
      <c r="T13" s="188">
        <v>20</v>
      </c>
      <c r="U13" s="188">
        <v>21</v>
      </c>
      <c r="V13" s="188">
        <v>22</v>
      </c>
    </row>
    <row r="14" spans="1:22" ht="15">
      <c r="A14" s="798" t="s">
        <v>214</v>
      </c>
      <c r="B14" s="799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</row>
    <row r="15" spans="1:22" ht="15">
      <c r="A15" s="188">
        <v>1</v>
      </c>
      <c r="B15" s="191" t="s">
        <v>213</v>
      </c>
      <c r="C15" s="192">
        <v>20806.89</v>
      </c>
      <c r="D15" s="192"/>
      <c r="E15" s="192"/>
      <c r="F15" s="326">
        <v>42849</v>
      </c>
      <c r="G15" s="192">
        <v>24445.84</v>
      </c>
      <c r="H15" s="192"/>
      <c r="I15" s="192"/>
      <c r="J15" s="326">
        <v>42871</v>
      </c>
      <c r="K15" s="192">
        <v>21296.69</v>
      </c>
      <c r="L15" s="192"/>
      <c r="M15" s="192"/>
      <c r="N15" s="326">
        <v>42884</v>
      </c>
      <c r="O15" s="192"/>
      <c r="P15" s="192"/>
      <c r="Q15" s="192"/>
      <c r="R15" s="192"/>
      <c r="S15" s="192"/>
      <c r="T15" s="192"/>
      <c r="U15" s="192"/>
      <c r="V15" s="192"/>
    </row>
    <row r="16" spans="1:22" ht="15">
      <c r="A16" s="188">
        <v>2</v>
      </c>
      <c r="B16" s="191" t="s">
        <v>154</v>
      </c>
      <c r="C16" s="192">
        <v>26215.93</v>
      </c>
      <c r="D16" s="192"/>
      <c r="E16" s="192"/>
      <c r="F16" s="326">
        <v>42929</v>
      </c>
      <c r="G16" s="192">
        <v>22576.98</v>
      </c>
      <c r="H16" s="192"/>
      <c r="I16" s="192"/>
      <c r="J16" s="326">
        <v>42949</v>
      </c>
      <c r="K16" s="192">
        <v>19781.89</v>
      </c>
      <c r="L16" s="192"/>
      <c r="M16" s="192"/>
      <c r="N16" s="326">
        <v>42968</v>
      </c>
      <c r="O16" s="192"/>
      <c r="P16" s="192"/>
      <c r="Q16" s="192"/>
      <c r="R16" s="192"/>
      <c r="S16" s="192"/>
      <c r="T16" s="192"/>
      <c r="U16" s="192"/>
      <c r="V16" s="192"/>
    </row>
    <row r="17" spans="1:22" ht="15">
      <c r="A17" s="188">
        <v>3</v>
      </c>
      <c r="B17" s="191" t="s">
        <v>155</v>
      </c>
      <c r="C17" s="192">
        <v>33210.03</v>
      </c>
      <c r="D17" s="192"/>
      <c r="E17" s="192"/>
      <c r="F17" s="326" t="s">
        <v>962</v>
      </c>
      <c r="G17" s="192">
        <v>33210.03</v>
      </c>
      <c r="H17" s="192"/>
      <c r="I17" s="192"/>
      <c r="J17" s="326">
        <v>43111</v>
      </c>
      <c r="K17" s="192">
        <v>2098.4</v>
      </c>
      <c r="L17" s="192"/>
      <c r="M17" s="192"/>
      <c r="N17" s="326">
        <v>43045</v>
      </c>
      <c r="O17" s="192"/>
      <c r="P17" s="192"/>
      <c r="Q17" s="192"/>
      <c r="R17" s="192"/>
      <c r="S17" s="192"/>
      <c r="T17" s="192"/>
      <c r="U17" s="192"/>
      <c r="V17" s="192"/>
    </row>
    <row r="18" spans="1:22" ht="15">
      <c r="A18" s="330"/>
      <c r="B18" s="331"/>
      <c r="C18" s="192"/>
      <c r="D18" s="192"/>
      <c r="E18" s="192"/>
      <c r="F18" s="326">
        <v>43098</v>
      </c>
      <c r="G18" s="192"/>
      <c r="H18" s="192"/>
      <c r="I18" s="192"/>
      <c r="J18" s="326"/>
      <c r="K18" s="192">
        <v>22425.67</v>
      </c>
      <c r="L18" s="192"/>
      <c r="M18" s="192"/>
      <c r="N18" s="326">
        <v>43117</v>
      </c>
      <c r="O18" s="192"/>
      <c r="P18" s="192"/>
      <c r="Q18" s="192"/>
      <c r="R18" s="192"/>
      <c r="S18" s="192"/>
      <c r="T18" s="192"/>
      <c r="U18" s="192"/>
      <c r="V18" s="192"/>
    </row>
    <row r="19" spans="1:22" ht="15">
      <c r="A19" s="330"/>
      <c r="B19" s="331"/>
      <c r="C19" s="192"/>
      <c r="D19" s="192"/>
      <c r="E19" s="192"/>
      <c r="F19" s="326"/>
      <c r="G19" s="192"/>
      <c r="H19" s="192"/>
      <c r="I19" s="192"/>
      <c r="J19" s="326"/>
      <c r="K19" s="192">
        <v>2035.72</v>
      </c>
      <c r="L19" s="192"/>
      <c r="M19" s="192"/>
      <c r="N19" s="326">
        <v>43134</v>
      </c>
      <c r="O19" s="192"/>
      <c r="P19" s="192"/>
      <c r="Q19" s="192"/>
      <c r="R19" s="192"/>
      <c r="S19" s="192"/>
      <c r="T19" s="192"/>
      <c r="U19" s="192"/>
      <c r="V19" s="192"/>
    </row>
    <row r="20" spans="1:22" ht="15">
      <c r="A20" s="330"/>
      <c r="B20" s="331"/>
      <c r="C20" s="192"/>
      <c r="D20" s="192"/>
      <c r="E20" s="192"/>
      <c r="F20" s="326"/>
      <c r="G20" s="192"/>
      <c r="H20" s="192"/>
      <c r="I20" s="192"/>
      <c r="J20" s="326"/>
      <c r="K20" s="192">
        <v>12672.33</v>
      </c>
      <c r="L20" s="192"/>
      <c r="M20" s="192"/>
      <c r="N20" s="326">
        <v>43179</v>
      </c>
      <c r="O20" s="192"/>
      <c r="P20" s="192"/>
      <c r="Q20" s="192"/>
      <c r="R20" s="192"/>
      <c r="S20" s="192"/>
      <c r="T20" s="192"/>
      <c r="U20" s="192"/>
      <c r="V20" s="192"/>
    </row>
    <row r="21" spans="1:22" ht="15">
      <c r="A21" s="798" t="s">
        <v>215</v>
      </c>
      <c r="B21" s="799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</row>
    <row r="22" spans="1:22" ht="15">
      <c r="A22" s="188">
        <v>4</v>
      </c>
      <c r="B22" s="191" t="s">
        <v>203</v>
      </c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spans="1:22" ht="15">
      <c r="A23" s="188">
        <v>5</v>
      </c>
      <c r="B23" s="191" t="s">
        <v>133</v>
      </c>
      <c r="C23" s="192">
        <v>77.85</v>
      </c>
      <c r="D23" s="192"/>
      <c r="E23" s="192"/>
      <c r="F23" s="326">
        <v>43111</v>
      </c>
      <c r="G23" s="192">
        <v>77.85</v>
      </c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</row>
    <row r="26" spans="1:22" ht="14.25">
      <c r="A26" s="800" t="s">
        <v>167</v>
      </c>
      <c r="B26" s="800"/>
      <c r="C26" s="800"/>
      <c r="D26" s="800"/>
      <c r="E26" s="800"/>
      <c r="F26" s="800"/>
      <c r="G26" s="800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</row>
    <row r="27" spans="1:22" ht="14.25">
      <c r="A27" s="193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</row>
    <row r="28" spans="1:18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22" ht="15.75" customHeight="1">
      <c r="A29" s="96" t="s">
        <v>12</v>
      </c>
      <c r="B29" s="96"/>
      <c r="C29" s="748" t="s">
        <v>1021</v>
      </c>
      <c r="D29" s="748"/>
      <c r="E29" s="748"/>
      <c r="F29" s="748"/>
      <c r="G29" s="748"/>
      <c r="H29" s="83"/>
      <c r="I29" s="83"/>
      <c r="J29" s="83"/>
      <c r="K29" s="83"/>
      <c r="L29" s="83"/>
      <c r="M29" s="83"/>
      <c r="N29" s="748" t="s">
        <v>1024</v>
      </c>
      <c r="O29" s="748"/>
      <c r="P29" s="748"/>
      <c r="Q29" s="748"/>
      <c r="R29" s="748"/>
      <c r="S29" s="133"/>
      <c r="T29" s="133"/>
      <c r="U29" s="133"/>
      <c r="V29" s="133"/>
    </row>
    <row r="30" spans="1:22" ht="15.75" customHeight="1">
      <c r="A30" s="133"/>
      <c r="B30" s="133"/>
      <c r="C30" s="748" t="s">
        <v>1022</v>
      </c>
      <c r="D30" s="748"/>
      <c r="E30" s="748"/>
      <c r="F30" s="748"/>
      <c r="G30" s="748"/>
      <c r="H30" s="83"/>
      <c r="I30" s="83"/>
      <c r="J30" s="83"/>
      <c r="K30" s="83"/>
      <c r="L30" s="83"/>
      <c r="M30" s="83"/>
      <c r="N30" s="748" t="s">
        <v>1025</v>
      </c>
      <c r="O30" s="748"/>
      <c r="P30" s="748"/>
      <c r="Q30" s="748"/>
      <c r="R30" s="748"/>
      <c r="S30" s="133"/>
      <c r="T30" s="133"/>
      <c r="U30" s="133"/>
      <c r="V30" s="133"/>
    </row>
    <row r="31" spans="1:22" ht="15.75" customHeight="1">
      <c r="A31" s="133" t="s">
        <v>15</v>
      </c>
      <c r="B31" s="133"/>
      <c r="C31" s="15"/>
      <c r="D31" s="735" t="s">
        <v>1023</v>
      </c>
      <c r="E31" s="735"/>
      <c r="F31" s="735"/>
      <c r="G31" s="1"/>
      <c r="H31" s="15"/>
      <c r="I31" s="15"/>
      <c r="J31" s="15"/>
      <c r="K31" s="15"/>
      <c r="L31" s="15"/>
      <c r="M31" s="15"/>
      <c r="N31" s="15"/>
      <c r="O31" s="735" t="s">
        <v>1023</v>
      </c>
      <c r="P31" s="735"/>
      <c r="Q31" s="735"/>
      <c r="R31" s="1"/>
      <c r="S31" s="133"/>
      <c r="T31" s="133"/>
      <c r="U31" s="133"/>
      <c r="V31" s="133"/>
    </row>
    <row r="32" spans="1:24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V32" s="505" t="s">
        <v>84</v>
      </c>
      <c r="W32" s="505"/>
      <c r="X32" s="505"/>
    </row>
    <row r="39" spans="33:34" ht="12.75">
      <c r="AG39" s="185">
        <f>6.18*0.6</f>
        <v>3.7079999999999997</v>
      </c>
      <c r="AH39" s="185">
        <f>6.18*0.4</f>
        <v>2.472</v>
      </c>
    </row>
    <row r="46" spans="21:31" ht="15">
      <c r="U46" s="332"/>
      <c r="V46" s="332"/>
      <c r="W46" s="332" t="s">
        <v>905</v>
      </c>
      <c r="X46" s="332" t="s">
        <v>906</v>
      </c>
      <c r="Y46" s="332" t="s">
        <v>907</v>
      </c>
      <c r="Z46" s="332"/>
      <c r="AA46" s="332" t="s">
        <v>908</v>
      </c>
      <c r="AB46" s="332"/>
      <c r="AC46" s="332" t="s">
        <v>909</v>
      </c>
      <c r="AD46" s="332"/>
      <c r="AE46" s="332" t="s">
        <v>910</v>
      </c>
    </row>
    <row r="47" spans="21:31" ht="15">
      <c r="U47" s="332">
        <v>7144768</v>
      </c>
      <c r="V47" s="332">
        <v>222</v>
      </c>
      <c r="W47" s="332">
        <f>U47*V47*0.0001</f>
        <v>158613.84960000002</v>
      </c>
      <c r="X47" s="332">
        <f>W47*3</f>
        <v>475841.54880000005</v>
      </c>
      <c r="Y47" s="332">
        <f>W47*750/1000</f>
        <v>118960.38720000001</v>
      </c>
      <c r="Z47" s="332">
        <f>W47*450/1000</f>
        <v>71376.23232000001</v>
      </c>
      <c r="AA47" s="332">
        <f>U47*V47*2.48/1000</f>
        <v>3933623.47008</v>
      </c>
      <c r="AB47" s="332">
        <f>U47*V47*1.65/1000</f>
        <v>2617128.5184</v>
      </c>
      <c r="AC47" s="332">
        <f>175000*10*600/1000</f>
        <v>1050000</v>
      </c>
      <c r="AD47" s="332">
        <f>175000*400*10/1000</f>
        <v>700000</v>
      </c>
      <c r="AE47" s="332">
        <f>(X47+AA47+AC47)*1.8/100</f>
        <v>98270.37033984001</v>
      </c>
    </row>
    <row r="48" spans="21:31" ht="15">
      <c r="U48" s="332">
        <v>4655595</v>
      </c>
      <c r="V48" s="332">
        <v>222</v>
      </c>
      <c r="W48" s="332">
        <f>U48*V48*0.0001</f>
        <v>103354.209</v>
      </c>
      <c r="X48" s="332">
        <f>W48*3</f>
        <v>310062.627</v>
      </c>
      <c r="Y48" s="332">
        <f>W48*750/1000</f>
        <v>77515.65675</v>
      </c>
      <c r="Z48" s="332">
        <f>W48*450/1000</f>
        <v>46509.39405</v>
      </c>
      <c r="AA48" s="332">
        <f>U48*V48*3.71/1000</f>
        <v>3834441.1539000003</v>
      </c>
      <c r="AB48" s="332">
        <f>U48*V48*2.47/1000</f>
        <v>2552848.9623000002</v>
      </c>
      <c r="AC48" s="332"/>
      <c r="AD48" s="332"/>
      <c r="AE48" s="332"/>
    </row>
    <row r="49" spans="21:31" ht="15">
      <c r="U49" s="332">
        <v>5963</v>
      </c>
      <c r="V49" s="332">
        <v>313</v>
      </c>
      <c r="W49" s="332">
        <f>U49*V49*0.0001</f>
        <v>186.64190000000002</v>
      </c>
      <c r="X49" s="332">
        <f>W49*3</f>
        <v>559.9257</v>
      </c>
      <c r="Y49" s="332">
        <f>W49*750/1000</f>
        <v>139.98142500000003</v>
      </c>
      <c r="Z49" s="332">
        <f>W49*450/1000</f>
        <v>83.98885500000002</v>
      </c>
      <c r="AA49" s="332">
        <f>U49*V49*3.71/1000</f>
        <v>6924.41449</v>
      </c>
      <c r="AB49" s="332">
        <f>U49*V49*2.47/1000</f>
        <v>4610.05493</v>
      </c>
      <c r="AC49" s="332"/>
      <c r="AD49" s="332"/>
      <c r="AE49" s="332"/>
    </row>
    <row r="50" spans="21:31" ht="15">
      <c r="U50" s="332"/>
      <c r="V50" s="332"/>
      <c r="W50" s="332"/>
      <c r="X50" s="332">
        <f>SUM(X47:X49)</f>
        <v>786464.1015000001</v>
      </c>
      <c r="Y50" s="332">
        <f aca="true" t="shared" si="0" ref="Y50:AD50">SUM(Y47:Y49)</f>
        <v>196616.02537500003</v>
      </c>
      <c r="Z50" s="332">
        <f t="shared" si="0"/>
        <v>117969.61522500002</v>
      </c>
      <c r="AA50" s="333">
        <f t="shared" si="0"/>
        <v>7774989.038470001</v>
      </c>
      <c r="AB50" s="333">
        <f t="shared" si="0"/>
        <v>5174587.53563</v>
      </c>
      <c r="AC50" s="332">
        <f t="shared" si="0"/>
        <v>1050000</v>
      </c>
      <c r="AD50" s="332">
        <f t="shared" si="0"/>
        <v>700000</v>
      </c>
      <c r="AE50" s="332">
        <f>(X50+AA50+AC50)*1.8/100</f>
        <v>173006.15651946</v>
      </c>
    </row>
  </sheetData>
  <sheetProtection/>
  <mergeCells count="35">
    <mergeCell ref="C29:G29"/>
    <mergeCell ref="N29:R29"/>
    <mergeCell ref="C30:G30"/>
    <mergeCell ref="N30:R30"/>
    <mergeCell ref="S9:V9"/>
    <mergeCell ref="C9:C12"/>
    <mergeCell ref="G9:J9"/>
    <mergeCell ref="O10:Q11"/>
    <mergeCell ref="E9:E12"/>
    <mergeCell ref="R10:R12"/>
    <mergeCell ref="A21:B21"/>
    <mergeCell ref="A26:V26"/>
    <mergeCell ref="A14:B14"/>
    <mergeCell ref="F8:F12"/>
    <mergeCell ref="V10:V12"/>
    <mergeCell ref="O9:R9"/>
    <mergeCell ref="C8:E8"/>
    <mergeCell ref="A7:C7"/>
    <mergeCell ref="A8:A12"/>
    <mergeCell ref="G8:N8"/>
    <mergeCell ref="G10:I11"/>
    <mergeCell ref="J10:J12"/>
    <mergeCell ref="K10:M11"/>
    <mergeCell ref="D9:D12"/>
    <mergeCell ref="B8:B12"/>
    <mergeCell ref="D31:F31"/>
    <mergeCell ref="O31:Q31"/>
    <mergeCell ref="C3:N3"/>
    <mergeCell ref="B5:S5"/>
    <mergeCell ref="U5:V5"/>
    <mergeCell ref="O7:V7"/>
    <mergeCell ref="O8:V8"/>
    <mergeCell ref="N10:N12"/>
    <mergeCell ref="S10:U11"/>
    <mergeCell ref="K9:N9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55" r:id="rId1"/>
  <colBreaks count="1" manualBreakCount="1">
    <brk id="22" max="65535" man="1"/>
  </colBreaks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BreakPreview" zoomScaleSheetLayoutView="100" workbookViewId="0" topLeftCell="A34">
      <selection activeCell="F48" sqref="F48"/>
    </sheetView>
  </sheetViews>
  <sheetFormatPr defaultColWidth="9.140625" defaultRowHeight="12.75"/>
  <cols>
    <col min="1" max="1" width="5.57421875" style="271" customWidth="1"/>
    <col min="2" max="2" width="12.421875" style="271" customWidth="1"/>
    <col min="3" max="3" width="10.28125" style="271" customWidth="1"/>
    <col min="4" max="4" width="12.8515625" style="271" customWidth="1"/>
    <col min="5" max="5" width="8.7109375" style="253" customWidth="1"/>
    <col min="6" max="7" width="8.00390625" style="253" customWidth="1"/>
    <col min="8" max="10" width="8.140625" style="253" customWidth="1"/>
    <col min="11" max="11" width="8.421875" style="253" customWidth="1"/>
    <col min="12" max="12" width="8.140625" style="253" customWidth="1"/>
    <col min="13" max="13" width="11.28125" style="253" customWidth="1"/>
    <col min="14" max="14" width="11.8515625" style="253" customWidth="1"/>
    <col min="15" max="15" width="0" style="253" hidden="1" customWidth="1"/>
    <col min="16" max="16384" width="9.140625" style="253" customWidth="1"/>
  </cols>
  <sheetData>
    <row r="1" spans="4:14" ht="12.75" customHeight="1">
      <c r="D1" s="1032"/>
      <c r="E1" s="1032"/>
      <c r="F1" s="271"/>
      <c r="G1" s="271"/>
      <c r="H1" s="271"/>
      <c r="I1" s="271"/>
      <c r="J1" s="271"/>
      <c r="K1" s="271"/>
      <c r="L1" s="271"/>
      <c r="M1" s="1031" t="s">
        <v>740</v>
      </c>
      <c r="N1" s="1031"/>
    </row>
    <row r="2" spans="1:14" ht="15.75">
      <c r="A2" s="1033" t="s">
        <v>0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</row>
    <row r="3" spans="1:14" ht="18">
      <c r="A3" s="1029" t="s">
        <v>656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</row>
    <row r="4" spans="1:14" ht="9.75" customHeight="1">
      <c r="A4" s="1043" t="s">
        <v>737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</row>
    <row r="5" spans="1:14" s="254" customFormat="1" ht="18.75" customHeight="1">
      <c r="A5" s="1043"/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</row>
    <row r="6" spans="1:14" ht="12.75">
      <c r="A6" s="1034"/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</row>
    <row r="7" spans="1:14" ht="12.75">
      <c r="A7" s="208" t="s">
        <v>1020</v>
      </c>
      <c r="B7" s="208"/>
      <c r="C7" s="209"/>
      <c r="D7" s="299"/>
      <c r="E7" s="271"/>
      <c r="F7" s="271"/>
      <c r="G7" s="271"/>
      <c r="H7" s="1037"/>
      <c r="I7" s="1037"/>
      <c r="J7" s="1037"/>
      <c r="K7" s="1037"/>
      <c r="L7" s="1037"/>
      <c r="M7" s="1037"/>
      <c r="N7" s="1037"/>
    </row>
    <row r="8" spans="1:14" ht="24.75" customHeight="1">
      <c r="A8" s="950" t="s">
        <v>2</v>
      </c>
      <c r="B8" s="950" t="s">
        <v>3</v>
      </c>
      <c r="C8" s="1035" t="s">
        <v>505</v>
      </c>
      <c r="D8" s="1038" t="s">
        <v>85</v>
      </c>
      <c r="E8" s="1040" t="s">
        <v>86</v>
      </c>
      <c r="F8" s="1041"/>
      <c r="G8" s="1041"/>
      <c r="H8" s="1042"/>
      <c r="I8" s="1040" t="s">
        <v>735</v>
      </c>
      <c r="J8" s="1041"/>
      <c r="K8" s="1041"/>
      <c r="L8" s="1041"/>
      <c r="M8" s="1041"/>
      <c r="N8" s="1041"/>
    </row>
    <row r="9" spans="1:14" ht="44.25" customHeight="1">
      <c r="A9" s="950"/>
      <c r="B9" s="950"/>
      <c r="C9" s="1036"/>
      <c r="D9" s="1039"/>
      <c r="E9" s="317" t="s">
        <v>90</v>
      </c>
      <c r="F9" s="317" t="s">
        <v>21</v>
      </c>
      <c r="G9" s="317" t="s">
        <v>42</v>
      </c>
      <c r="H9" s="317" t="s">
        <v>836</v>
      </c>
      <c r="I9" s="300" t="s">
        <v>19</v>
      </c>
      <c r="J9" s="604" t="s">
        <v>914</v>
      </c>
      <c r="K9" s="604" t="s">
        <v>915</v>
      </c>
      <c r="L9" s="604" t="s">
        <v>967</v>
      </c>
      <c r="M9" s="604" t="s">
        <v>966</v>
      </c>
      <c r="N9" s="604" t="s">
        <v>965</v>
      </c>
    </row>
    <row r="10" spans="1:14" s="255" customFormat="1" ht="12.75">
      <c r="A10" s="300">
        <v>1</v>
      </c>
      <c r="B10" s="300">
        <v>2</v>
      </c>
      <c r="C10" s="300">
        <v>3</v>
      </c>
      <c r="D10" s="300">
        <v>8</v>
      </c>
      <c r="E10" s="300">
        <v>9</v>
      </c>
      <c r="F10" s="300">
        <v>10</v>
      </c>
      <c r="G10" s="300">
        <v>11</v>
      </c>
      <c r="H10" s="300">
        <v>12</v>
      </c>
      <c r="I10" s="300">
        <v>13</v>
      </c>
      <c r="J10" s="300">
        <v>14</v>
      </c>
      <c r="K10" s="300">
        <v>15</v>
      </c>
      <c r="L10" s="300">
        <v>16</v>
      </c>
      <c r="M10" s="300">
        <v>17</v>
      </c>
      <c r="N10" s="300">
        <v>18</v>
      </c>
    </row>
    <row r="11" spans="1:15" ht="12.75">
      <c r="A11" s="272">
        <v>1</v>
      </c>
      <c r="B11" s="328" t="s">
        <v>870</v>
      </c>
      <c r="C11" s="273">
        <v>825</v>
      </c>
      <c r="D11" s="301">
        <v>50</v>
      </c>
      <c r="E11" s="273">
        <f>F11</f>
        <v>4.125</v>
      </c>
      <c r="F11" s="273">
        <f>C11*D11*0.0001</f>
        <v>4.125</v>
      </c>
      <c r="G11" s="273">
        <v>0</v>
      </c>
      <c r="H11" s="273"/>
      <c r="I11" s="273">
        <f>J11+K11+L11+M11+N11</f>
        <v>0.8250000000000001</v>
      </c>
      <c r="J11" s="273">
        <f>C11*0.00002*10</f>
        <v>0.165</v>
      </c>
      <c r="K11" s="273">
        <f>C11*0.00002*10</f>
        <v>0.165</v>
      </c>
      <c r="L11" s="273">
        <f>C11*0.00002*10</f>
        <v>0.165</v>
      </c>
      <c r="M11" s="273">
        <f>C11*0.00002*10</f>
        <v>0.165</v>
      </c>
      <c r="N11" s="273">
        <f>C11*0.00002*10</f>
        <v>0.165</v>
      </c>
      <c r="O11" s="253" t="s">
        <v>975</v>
      </c>
    </row>
    <row r="12" spans="1:15" ht="12.75">
      <c r="A12" s="272">
        <v>2</v>
      </c>
      <c r="B12" s="328" t="s">
        <v>871</v>
      </c>
      <c r="C12" s="273">
        <v>111207</v>
      </c>
      <c r="D12" s="301">
        <v>50</v>
      </c>
      <c r="E12" s="273">
        <f aca="true" t="shared" si="0" ref="E12:E45">F12</f>
        <v>556.0350000000001</v>
      </c>
      <c r="F12" s="273">
        <f aca="true" t="shared" si="1" ref="F12:F45">C12*D12*0.0001</f>
        <v>556.0350000000001</v>
      </c>
      <c r="G12" s="273">
        <v>0</v>
      </c>
      <c r="H12" s="273"/>
      <c r="I12" s="273">
        <f aca="true" t="shared" si="2" ref="I12:I45">J12+K12+L12+M12+N12</f>
        <v>111.20700000000001</v>
      </c>
      <c r="J12" s="273">
        <f aca="true" t="shared" si="3" ref="J12:J45">C12*0.00002*10</f>
        <v>22.241400000000002</v>
      </c>
      <c r="K12" s="273">
        <f aca="true" t="shared" si="4" ref="K12:K45">C12*0.00002*10</f>
        <v>22.241400000000002</v>
      </c>
      <c r="L12" s="273">
        <f aca="true" t="shared" si="5" ref="L12:L45">C12*0.00002*10</f>
        <v>22.241400000000002</v>
      </c>
      <c r="M12" s="273">
        <f aca="true" t="shared" si="6" ref="M12:M45">C12*0.00002*10</f>
        <v>22.241400000000002</v>
      </c>
      <c r="N12" s="273">
        <f aca="true" t="shared" si="7" ref="N12:N45">C12*0.00002*10</f>
        <v>22.241400000000002</v>
      </c>
      <c r="O12" s="253" t="s">
        <v>975</v>
      </c>
    </row>
    <row r="13" spans="1:15" ht="12.75">
      <c r="A13" s="272">
        <v>3</v>
      </c>
      <c r="B13" s="328" t="s">
        <v>872</v>
      </c>
      <c r="C13" s="273">
        <v>142812</v>
      </c>
      <c r="D13" s="301">
        <v>50</v>
      </c>
      <c r="E13" s="273">
        <f t="shared" si="0"/>
        <v>714.0600000000001</v>
      </c>
      <c r="F13" s="273">
        <f t="shared" si="1"/>
        <v>714.0600000000001</v>
      </c>
      <c r="G13" s="273">
        <v>0</v>
      </c>
      <c r="H13" s="273"/>
      <c r="I13" s="273">
        <f t="shared" si="2"/>
        <v>142.812</v>
      </c>
      <c r="J13" s="273">
        <f t="shared" si="3"/>
        <v>28.5624</v>
      </c>
      <c r="K13" s="273">
        <f t="shared" si="4"/>
        <v>28.5624</v>
      </c>
      <c r="L13" s="273">
        <f t="shared" si="5"/>
        <v>28.5624</v>
      </c>
      <c r="M13" s="273">
        <f t="shared" si="6"/>
        <v>28.5624</v>
      </c>
      <c r="N13" s="273">
        <f t="shared" si="7"/>
        <v>28.5624</v>
      </c>
      <c r="O13" s="253" t="s">
        <v>975</v>
      </c>
    </row>
    <row r="14" spans="1:15" ht="12.75">
      <c r="A14" s="272">
        <v>4</v>
      </c>
      <c r="B14" s="328" t="s">
        <v>873</v>
      </c>
      <c r="C14" s="273">
        <v>192841</v>
      </c>
      <c r="D14" s="301">
        <v>50</v>
      </c>
      <c r="E14" s="273">
        <f t="shared" si="0"/>
        <v>964.205</v>
      </c>
      <c r="F14" s="273">
        <f t="shared" si="1"/>
        <v>964.205</v>
      </c>
      <c r="G14" s="273">
        <v>0</v>
      </c>
      <c r="H14" s="273"/>
      <c r="I14" s="273">
        <f t="shared" si="2"/>
        <v>192.841</v>
      </c>
      <c r="J14" s="273">
        <f t="shared" si="3"/>
        <v>38.568200000000004</v>
      </c>
      <c r="K14" s="273">
        <f t="shared" si="4"/>
        <v>38.568200000000004</v>
      </c>
      <c r="L14" s="273">
        <f t="shared" si="5"/>
        <v>38.568200000000004</v>
      </c>
      <c r="M14" s="273">
        <f t="shared" si="6"/>
        <v>38.568200000000004</v>
      </c>
      <c r="N14" s="273">
        <f t="shared" si="7"/>
        <v>38.568200000000004</v>
      </c>
      <c r="O14" s="253" t="s">
        <v>975</v>
      </c>
    </row>
    <row r="15" spans="1:14" ht="12.75">
      <c r="A15" s="272">
        <v>5</v>
      </c>
      <c r="B15" s="328" t="s">
        <v>874</v>
      </c>
      <c r="C15" s="273">
        <v>0</v>
      </c>
      <c r="D15" s="301">
        <v>50</v>
      </c>
      <c r="E15" s="273">
        <f t="shared" si="0"/>
        <v>0</v>
      </c>
      <c r="F15" s="273">
        <f t="shared" si="1"/>
        <v>0</v>
      </c>
      <c r="G15" s="273">
        <v>0</v>
      </c>
      <c r="H15" s="273">
        <v>0</v>
      </c>
      <c r="I15" s="273">
        <f t="shared" si="2"/>
        <v>0</v>
      </c>
      <c r="J15" s="273">
        <f t="shared" si="3"/>
        <v>0</v>
      </c>
      <c r="K15" s="273">
        <f t="shared" si="4"/>
        <v>0</v>
      </c>
      <c r="L15" s="273">
        <f t="shared" si="5"/>
        <v>0</v>
      </c>
      <c r="M15" s="273">
        <f t="shared" si="6"/>
        <v>0</v>
      </c>
      <c r="N15" s="273">
        <f t="shared" si="7"/>
        <v>0</v>
      </c>
    </row>
    <row r="16" spans="1:15" ht="12.75">
      <c r="A16" s="272">
        <v>6</v>
      </c>
      <c r="B16" s="328" t="s">
        <v>875</v>
      </c>
      <c r="C16" s="273">
        <v>1973</v>
      </c>
      <c r="D16" s="301">
        <v>50</v>
      </c>
      <c r="E16" s="273">
        <f t="shared" si="0"/>
        <v>9.865</v>
      </c>
      <c r="F16" s="273">
        <f t="shared" si="1"/>
        <v>9.865</v>
      </c>
      <c r="G16" s="273">
        <v>0</v>
      </c>
      <c r="H16" s="273"/>
      <c r="I16" s="273">
        <f t="shared" si="2"/>
        <v>1.973</v>
      </c>
      <c r="J16" s="273">
        <f t="shared" si="3"/>
        <v>0.3946</v>
      </c>
      <c r="K16" s="273">
        <f t="shared" si="4"/>
        <v>0.3946</v>
      </c>
      <c r="L16" s="273">
        <f t="shared" si="5"/>
        <v>0.3946</v>
      </c>
      <c r="M16" s="273">
        <f t="shared" si="6"/>
        <v>0.3946</v>
      </c>
      <c r="N16" s="273">
        <f t="shared" si="7"/>
        <v>0.3946</v>
      </c>
      <c r="O16" s="253" t="s">
        <v>975</v>
      </c>
    </row>
    <row r="17" spans="1:15" ht="12.75">
      <c r="A17" s="272">
        <v>7</v>
      </c>
      <c r="B17" s="328" t="s">
        <v>876</v>
      </c>
      <c r="C17" s="273">
        <v>86908</v>
      </c>
      <c r="D17" s="301">
        <v>50</v>
      </c>
      <c r="E17" s="273">
        <f t="shared" si="0"/>
        <v>434.54</v>
      </c>
      <c r="F17" s="273">
        <f t="shared" si="1"/>
        <v>434.54</v>
      </c>
      <c r="G17" s="273">
        <v>0</v>
      </c>
      <c r="H17" s="273"/>
      <c r="I17" s="273">
        <f t="shared" si="2"/>
        <v>86.90800000000002</v>
      </c>
      <c r="J17" s="273">
        <f t="shared" si="3"/>
        <v>17.381600000000002</v>
      </c>
      <c r="K17" s="273">
        <f t="shared" si="4"/>
        <v>17.381600000000002</v>
      </c>
      <c r="L17" s="273">
        <f t="shared" si="5"/>
        <v>17.381600000000002</v>
      </c>
      <c r="M17" s="273">
        <f t="shared" si="6"/>
        <v>17.381600000000002</v>
      </c>
      <c r="N17" s="273">
        <f t="shared" si="7"/>
        <v>17.381600000000002</v>
      </c>
      <c r="O17" s="253" t="s">
        <v>976</v>
      </c>
    </row>
    <row r="18" spans="1:15" ht="12.75">
      <c r="A18" s="272">
        <v>8</v>
      </c>
      <c r="B18" s="328" t="s">
        <v>877</v>
      </c>
      <c r="C18" s="273">
        <v>97332</v>
      </c>
      <c r="D18" s="301">
        <v>50</v>
      </c>
      <c r="E18" s="273">
        <f t="shared" si="0"/>
        <v>486.66</v>
      </c>
      <c r="F18" s="273">
        <f t="shared" si="1"/>
        <v>486.66</v>
      </c>
      <c r="G18" s="273">
        <v>0</v>
      </c>
      <c r="H18" s="273"/>
      <c r="I18" s="273">
        <f t="shared" si="2"/>
        <v>97.332</v>
      </c>
      <c r="J18" s="273">
        <f t="shared" si="3"/>
        <v>19.4664</v>
      </c>
      <c r="K18" s="273">
        <f t="shared" si="4"/>
        <v>19.4664</v>
      </c>
      <c r="L18" s="273">
        <f t="shared" si="5"/>
        <v>19.4664</v>
      </c>
      <c r="M18" s="273">
        <f t="shared" si="6"/>
        <v>19.4664</v>
      </c>
      <c r="N18" s="273">
        <f t="shared" si="7"/>
        <v>19.4664</v>
      </c>
      <c r="O18" s="253" t="s">
        <v>975</v>
      </c>
    </row>
    <row r="19" spans="1:15" ht="12.75">
      <c r="A19" s="272">
        <v>9</v>
      </c>
      <c r="B19" s="328" t="s">
        <v>878</v>
      </c>
      <c r="C19" s="273">
        <v>151293</v>
      </c>
      <c r="D19" s="301">
        <v>50</v>
      </c>
      <c r="E19" s="273">
        <f t="shared" si="0"/>
        <v>756.465</v>
      </c>
      <c r="F19" s="273">
        <f t="shared" si="1"/>
        <v>756.465</v>
      </c>
      <c r="G19" s="273">
        <v>0</v>
      </c>
      <c r="H19" s="273"/>
      <c r="I19" s="273">
        <f t="shared" si="2"/>
        <v>151.293</v>
      </c>
      <c r="J19" s="273">
        <f t="shared" si="3"/>
        <v>30.2586</v>
      </c>
      <c r="K19" s="273">
        <f t="shared" si="4"/>
        <v>30.2586</v>
      </c>
      <c r="L19" s="273">
        <f t="shared" si="5"/>
        <v>30.2586</v>
      </c>
      <c r="M19" s="273">
        <f t="shared" si="6"/>
        <v>30.2586</v>
      </c>
      <c r="N19" s="273">
        <f t="shared" si="7"/>
        <v>30.2586</v>
      </c>
      <c r="O19" s="253" t="s">
        <v>975</v>
      </c>
    </row>
    <row r="20" spans="1:15" ht="12.75">
      <c r="A20" s="272">
        <v>10</v>
      </c>
      <c r="B20" s="328" t="s">
        <v>879</v>
      </c>
      <c r="C20" s="273">
        <v>33480</v>
      </c>
      <c r="D20" s="301">
        <v>50</v>
      </c>
      <c r="E20" s="273">
        <f t="shared" si="0"/>
        <v>167.4</v>
      </c>
      <c r="F20" s="273">
        <f t="shared" si="1"/>
        <v>167.4</v>
      </c>
      <c r="G20" s="273">
        <v>0</v>
      </c>
      <c r="H20" s="273"/>
      <c r="I20" s="273">
        <f t="shared" si="2"/>
        <v>33.480000000000004</v>
      </c>
      <c r="J20" s="273">
        <f t="shared" si="3"/>
        <v>6.696000000000001</v>
      </c>
      <c r="K20" s="273">
        <f t="shared" si="4"/>
        <v>6.696000000000001</v>
      </c>
      <c r="L20" s="273">
        <f t="shared" si="5"/>
        <v>6.696000000000001</v>
      </c>
      <c r="M20" s="273">
        <f t="shared" si="6"/>
        <v>6.696000000000001</v>
      </c>
      <c r="N20" s="273">
        <f t="shared" si="7"/>
        <v>6.696000000000001</v>
      </c>
      <c r="O20" s="253" t="s">
        <v>975</v>
      </c>
    </row>
    <row r="21" spans="1:15" ht="12.75">
      <c r="A21" s="272">
        <v>11</v>
      </c>
      <c r="B21" s="328" t="s">
        <v>880</v>
      </c>
      <c r="C21" s="273">
        <v>59088</v>
      </c>
      <c r="D21" s="301">
        <v>50</v>
      </c>
      <c r="E21" s="273">
        <f t="shared" si="0"/>
        <v>295.44</v>
      </c>
      <c r="F21" s="273">
        <f t="shared" si="1"/>
        <v>295.44</v>
      </c>
      <c r="G21" s="273">
        <v>0</v>
      </c>
      <c r="H21" s="273"/>
      <c r="I21" s="273">
        <f t="shared" si="2"/>
        <v>59.08800000000001</v>
      </c>
      <c r="J21" s="273">
        <f t="shared" si="3"/>
        <v>11.817600000000002</v>
      </c>
      <c r="K21" s="273">
        <f t="shared" si="4"/>
        <v>11.817600000000002</v>
      </c>
      <c r="L21" s="273">
        <f t="shared" si="5"/>
        <v>11.817600000000002</v>
      </c>
      <c r="M21" s="273">
        <f t="shared" si="6"/>
        <v>11.817600000000002</v>
      </c>
      <c r="N21" s="273">
        <f t="shared" si="7"/>
        <v>11.817600000000002</v>
      </c>
      <c r="O21" s="253" t="s">
        <v>975</v>
      </c>
    </row>
    <row r="22" spans="1:14" ht="12.75">
      <c r="A22" s="272">
        <v>12</v>
      </c>
      <c r="B22" s="328" t="s">
        <v>881</v>
      </c>
      <c r="C22" s="273">
        <v>0</v>
      </c>
      <c r="D22" s="301">
        <v>50</v>
      </c>
      <c r="E22" s="273">
        <f t="shared" si="0"/>
        <v>0</v>
      </c>
      <c r="F22" s="273">
        <f t="shared" si="1"/>
        <v>0</v>
      </c>
      <c r="G22" s="273">
        <v>0</v>
      </c>
      <c r="H22" s="273">
        <v>0</v>
      </c>
      <c r="I22" s="273">
        <f t="shared" si="2"/>
        <v>0</v>
      </c>
      <c r="J22" s="273">
        <f t="shared" si="3"/>
        <v>0</v>
      </c>
      <c r="K22" s="273">
        <f t="shared" si="4"/>
        <v>0</v>
      </c>
      <c r="L22" s="273">
        <f t="shared" si="5"/>
        <v>0</v>
      </c>
      <c r="M22" s="273">
        <f t="shared" si="6"/>
        <v>0</v>
      </c>
      <c r="N22" s="273">
        <f t="shared" si="7"/>
        <v>0</v>
      </c>
    </row>
    <row r="23" spans="1:15" ht="12.75">
      <c r="A23" s="272">
        <v>13</v>
      </c>
      <c r="B23" s="328" t="s">
        <v>882</v>
      </c>
      <c r="C23" s="273">
        <v>262690</v>
      </c>
      <c r="D23" s="301">
        <v>50</v>
      </c>
      <c r="E23" s="273">
        <f t="shared" si="0"/>
        <v>1313.45</v>
      </c>
      <c r="F23" s="273">
        <f t="shared" si="1"/>
        <v>1313.45</v>
      </c>
      <c r="G23" s="273">
        <v>0</v>
      </c>
      <c r="H23" s="273"/>
      <c r="I23" s="273">
        <f t="shared" si="2"/>
        <v>262.69</v>
      </c>
      <c r="J23" s="273">
        <f t="shared" si="3"/>
        <v>52.538</v>
      </c>
      <c r="K23" s="273">
        <f t="shared" si="4"/>
        <v>52.538</v>
      </c>
      <c r="L23" s="273">
        <f t="shared" si="5"/>
        <v>52.538</v>
      </c>
      <c r="M23" s="273">
        <f t="shared" si="6"/>
        <v>52.538</v>
      </c>
      <c r="N23" s="273">
        <f t="shared" si="7"/>
        <v>52.538</v>
      </c>
      <c r="O23" s="253" t="s">
        <v>975</v>
      </c>
    </row>
    <row r="24" spans="1:15" ht="12.75">
      <c r="A24" s="272">
        <v>14</v>
      </c>
      <c r="B24" s="328" t="s">
        <v>883</v>
      </c>
      <c r="C24" s="273">
        <v>3824</v>
      </c>
      <c r="D24" s="301">
        <v>50</v>
      </c>
      <c r="E24" s="273">
        <f t="shared" si="0"/>
        <v>19.12</v>
      </c>
      <c r="F24" s="273">
        <f t="shared" si="1"/>
        <v>19.12</v>
      </c>
      <c r="G24" s="273">
        <v>0</v>
      </c>
      <c r="H24" s="273"/>
      <c r="I24" s="273">
        <f t="shared" si="2"/>
        <v>3.8240000000000003</v>
      </c>
      <c r="J24" s="273">
        <f t="shared" si="3"/>
        <v>0.7648</v>
      </c>
      <c r="K24" s="273">
        <f t="shared" si="4"/>
        <v>0.7648</v>
      </c>
      <c r="L24" s="273">
        <f t="shared" si="5"/>
        <v>0.7648</v>
      </c>
      <c r="M24" s="273">
        <f t="shared" si="6"/>
        <v>0.7648</v>
      </c>
      <c r="N24" s="273">
        <f t="shared" si="7"/>
        <v>0.7648</v>
      </c>
      <c r="O24" s="253" t="s">
        <v>975</v>
      </c>
    </row>
    <row r="25" spans="1:14" ht="12.75">
      <c r="A25" s="272">
        <v>15</v>
      </c>
      <c r="B25" s="328" t="s">
        <v>884</v>
      </c>
      <c r="C25" s="273">
        <v>0</v>
      </c>
      <c r="D25" s="301">
        <v>50</v>
      </c>
      <c r="E25" s="273">
        <f t="shared" si="0"/>
        <v>0</v>
      </c>
      <c r="F25" s="273">
        <f t="shared" si="1"/>
        <v>0</v>
      </c>
      <c r="G25" s="273">
        <v>0</v>
      </c>
      <c r="H25" s="273">
        <v>0</v>
      </c>
      <c r="I25" s="273">
        <f t="shared" si="2"/>
        <v>0</v>
      </c>
      <c r="J25" s="273">
        <f t="shared" si="3"/>
        <v>0</v>
      </c>
      <c r="K25" s="273">
        <f t="shared" si="4"/>
        <v>0</v>
      </c>
      <c r="L25" s="273">
        <f t="shared" si="5"/>
        <v>0</v>
      </c>
      <c r="M25" s="273">
        <f t="shared" si="6"/>
        <v>0</v>
      </c>
      <c r="N25" s="273">
        <f t="shared" si="7"/>
        <v>0</v>
      </c>
    </row>
    <row r="26" spans="1:15" ht="12.75">
      <c r="A26" s="272">
        <v>16</v>
      </c>
      <c r="B26" s="328" t="s">
        <v>885</v>
      </c>
      <c r="C26" s="273">
        <v>26252</v>
      </c>
      <c r="D26" s="301">
        <v>50</v>
      </c>
      <c r="E26" s="273">
        <f t="shared" si="0"/>
        <v>131.26000000000002</v>
      </c>
      <c r="F26" s="273">
        <f t="shared" si="1"/>
        <v>131.26000000000002</v>
      </c>
      <c r="G26" s="273">
        <v>0</v>
      </c>
      <c r="H26" s="273"/>
      <c r="I26" s="273">
        <f t="shared" si="2"/>
        <v>26.252000000000002</v>
      </c>
      <c r="J26" s="273">
        <f t="shared" si="3"/>
        <v>5.250400000000001</v>
      </c>
      <c r="K26" s="273">
        <f t="shared" si="4"/>
        <v>5.250400000000001</v>
      </c>
      <c r="L26" s="273">
        <f t="shared" si="5"/>
        <v>5.250400000000001</v>
      </c>
      <c r="M26" s="273">
        <f t="shared" si="6"/>
        <v>5.250400000000001</v>
      </c>
      <c r="N26" s="273">
        <f t="shared" si="7"/>
        <v>5.250400000000001</v>
      </c>
      <c r="O26" s="253" t="s">
        <v>975</v>
      </c>
    </row>
    <row r="27" spans="1:14" ht="12.75">
      <c r="A27" s="272">
        <v>17</v>
      </c>
      <c r="B27" s="328" t="s">
        <v>886</v>
      </c>
      <c r="C27" s="273">
        <v>0</v>
      </c>
      <c r="D27" s="301">
        <v>50</v>
      </c>
      <c r="E27" s="273">
        <f t="shared" si="0"/>
        <v>0</v>
      </c>
      <c r="F27" s="273">
        <f t="shared" si="1"/>
        <v>0</v>
      </c>
      <c r="G27" s="273">
        <v>0</v>
      </c>
      <c r="H27" s="273"/>
      <c r="I27" s="273">
        <f t="shared" si="2"/>
        <v>0</v>
      </c>
      <c r="J27" s="273">
        <f t="shared" si="3"/>
        <v>0</v>
      </c>
      <c r="K27" s="273">
        <f t="shared" si="4"/>
        <v>0</v>
      </c>
      <c r="L27" s="273">
        <f t="shared" si="5"/>
        <v>0</v>
      </c>
      <c r="M27" s="273">
        <f t="shared" si="6"/>
        <v>0</v>
      </c>
      <c r="N27" s="273">
        <f t="shared" si="7"/>
        <v>0</v>
      </c>
    </row>
    <row r="28" spans="1:14" ht="12.75">
      <c r="A28" s="272">
        <v>18</v>
      </c>
      <c r="B28" s="328" t="s">
        <v>887</v>
      </c>
      <c r="C28" s="273">
        <v>0</v>
      </c>
      <c r="D28" s="301">
        <v>50</v>
      </c>
      <c r="E28" s="273">
        <f t="shared" si="0"/>
        <v>0</v>
      </c>
      <c r="F28" s="273">
        <f t="shared" si="1"/>
        <v>0</v>
      </c>
      <c r="G28" s="273">
        <v>0</v>
      </c>
      <c r="H28" s="273"/>
      <c r="I28" s="273">
        <f t="shared" si="2"/>
        <v>0</v>
      </c>
      <c r="J28" s="273">
        <f t="shared" si="3"/>
        <v>0</v>
      </c>
      <c r="K28" s="273">
        <f t="shared" si="4"/>
        <v>0</v>
      </c>
      <c r="L28" s="273">
        <f t="shared" si="5"/>
        <v>0</v>
      </c>
      <c r="M28" s="273">
        <f t="shared" si="6"/>
        <v>0</v>
      </c>
      <c r="N28" s="273">
        <f t="shared" si="7"/>
        <v>0</v>
      </c>
    </row>
    <row r="29" spans="1:15" ht="12.75">
      <c r="A29" s="272">
        <v>19</v>
      </c>
      <c r="B29" s="328" t="s">
        <v>888</v>
      </c>
      <c r="C29" s="273">
        <v>156010</v>
      </c>
      <c r="D29" s="301">
        <v>50</v>
      </c>
      <c r="E29" s="273">
        <f t="shared" si="0"/>
        <v>780.0500000000001</v>
      </c>
      <c r="F29" s="273">
        <f t="shared" si="1"/>
        <v>780.0500000000001</v>
      </c>
      <c r="G29" s="273">
        <v>0</v>
      </c>
      <c r="H29" s="273"/>
      <c r="I29" s="273">
        <f t="shared" si="2"/>
        <v>156.01000000000002</v>
      </c>
      <c r="J29" s="273">
        <f t="shared" si="3"/>
        <v>31.202</v>
      </c>
      <c r="K29" s="273">
        <f t="shared" si="4"/>
        <v>31.202</v>
      </c>
      <c r="L29" s="273">
        <f t="shared" si="5"/>
        <v>31.202</v>
      </c>
      <c r="M29" s="273">
        <f t="shared" si="6"/>
        <v>31.202</v>
      </c>
      <c r="N29" s="273">
        <f t="shared" si="7"/>
        <v>31.202</v>
      </c>
      <c r="O29" s="253" t="s">
        <v>975</v>
      </c>
    </row>
    <row r="30" spans="1:14" ht="12.75">
      <c r="A30" s="272">
        <v>20</v>
      </c>
      <c r="B30" s="328" t="s">
        <v>889</v>
      </c>
      <c r="C30" s="273">
        <v>0</v>
      </c>
      <c r="D30" s="301">
        <v>50</v>
      </c>
      <c r="E30" s="273">
        <f t="shared" si="0"/>
        <v>0</v>
      </c>
      <c r="F30" s="273">
        <f t="shared" si="1"/>
        <v>0</v>
      </c>
      <c r="G30" s="273">
        <v>0</v>
      </c>
      <c r="H30" s="273">
        <v>0</v>
      </c>
      <c r="I30" s="273">
        <f t="shared" si="2"/>
        <v>0</v>
      </c>
      <c r="J30" s="273">
        <f t="shared" si="3"/>
        <v>0</v>
      </c>
      <c r="K30" s="273">
        <f t="shared" si="4"/>
        <v>0</v>
      </c>
      <c r="L30" s="273">
        <f t="shared" si="5"/>
        <v>0</v>
      </c>
      <c r="M30" s="273">
        <f t="shared" si="6"/>
        <v>0</v>
      </c>
      <c r="N30" s="273">
        <f t="shared" si="7"/>
        <v>0</v>
      </c>
    </row>
    <row r="31" spans="1:14" ht="12.75">
      <c r="A31" s="272">
        <v>21</v>
      </c>
      <c r="B31" s="328" t="s">
        <v>890</v>
      </c>
      <c r="C31" s="273">
        <v>0</v>
      </c>
      <c r="D31" s="301">
        <v>50</v>
      </c>
      <c r="E31" s="273">
        <f t="shared" si="0"/>
        <v>0</v>
      </c>
      <c r="F31" s="273">
        <f t="shared" si="1"/>
        <v>0</v>
      </c>
      <c r="G31" s="273">
        <v>0</v>
      </c>
      <c r="H31" s="273">
        <v>0</v>
      </c>
      <c r="I31" s="273">
        <f t="shared" si="2"/>
        <v>0</v>
      </c>
      <c r="J31" s="273">
        <f t="shared" si="3"/>
        <v>0</v>
      </c>
      <c r="K31" s="273">
        <f t="shared" si="4"/>
        <v>0</v>
      </c>
      <c r="L31" s="273">
        <f t="shared" si="5"/>
        <v>0</v>
      </c>
      <c r="M31" s="273">
        <f t="shared" si="6"/>
        <v>0</v>
      </c>
      <c r="N31" s="273">
        <f t="shared" si="7"/>
        <v>0</v>
      </c>
    </row>
    <row r="32" spans="1:14" ht="12.75">
      <c r="A32" s="272">
        <v>22</v>
      </c>
      <c r="B32" s="328" t="s">
        <v>891</v>
      </c>
      <c r="C32" s="273">
        <v>0</v>
      </c>
      <c r="D32" s="301">
        <v>50</v>
      </c>
      <c r="E32" s="273">
        <f t="shared" si="0"/>
        <v>0</v>
      </c>
      <c r="F32" s="273">
        <f t="shared" si="1"/>
        <v>0</v>
      </c>
      <c r="G32" s="273">
        <v>0</v>
      </c>
      <c r="H32" s="273">
        <v>0</v>
      </c>
      <c r="I32" s="273">
        <f t="shared" si="2"/>
        <v>0</v>
      </c>
      <c r="J32" s="273">
        <f t="shared" si="3"/>
        <v>0</v>
      </c>
      <c r="K32" s="273">
        <f t="shared" si="4"/>
        <v>0</v>
      </c>
      <c r="L32" s="273">
        <f t="shared" si="5"/>
        <v>0</v>
      </c>
      <c r="M32" s="273">
        <f t="shared" si="6"/>
        <v>0</v>
      </c>
      <c r="N32" s="273">
        <f t="shared" si="7"/>
        <v>0</v>
      </c>
    </row>
    <row r="33" spans="1:15" ht="12.75">
      <c r="A33" s="272">
        <v>23</v>
      </c>
      <c r="B33" s="328" t="s">
        <v>892</v>
      </c>
      <c r="C33" s="273">
        <v>159930</v>
      </c>
      <c r="D33" s="301">
        <v>50</v>
      </c>
      <c r="E33" s="273">
        <f t="shared" si="0"/>
        <v>799.6500000000001</v>
      </c>
      <c r="F33" s="273">
        <f t="shared" si="1"/>
        <v>799.6500000000001</v>
      </c>
      <c r="G33" s="273">
        <v>0</v>
      </c>
      <c r="H33" s="273"/>
      <c r="I33" s="273">
        <f t="shared" si="2"/>
        <v>159.93</v>
      </c>
      <c r="J33" s="273">
        <f t="shared" si="3"/>
        <v>31.986000000000004</v>
      </c>
      <c r="K33" s="273">
        <f t="shared" si="4"/>
        <v>31.986000000000004</v>
      </c>
      <c r="L33" s="273">
        <f t="shared" si="5"/>
        <v>31.986000000000004</v>
      </c>
      <c r="M33" s="273">
        <f t="shared" si="6"/>
        <v>31.986000000000004</v>
      </c>
      <c r="N33" s="273">
        <f t="shared" si="7"/>
        <v>31.986000000000004</v>
      </c>
      <c r="O33" s="253" t="s">
        <v>975</v>
      </c>
    </row>
    <row r="34" spans="1:14" ht="12.75">
      <c r="A34" s="272">
        <v>24</v>
      </c>
      <c r="B34" s="328" t="s">
        <v>893</v>
      </c>
      <c r="C34" s="273">
        <v>0</v>
      </c>
      <c r="D34" s="301">
        <v>50</v>
      </c>
      <c r="E34" s="273">
        <f t="shared" si="0"/>
        <v>0</v>
      </c>
      <c r="F34" s="273">
        <f t="shared" si="1"/>
        <v>0</v>
      </c>
      <c r="G34" s="273">
        <v>0</v>
      </c>
      <c r="H34" s="273"/>
      <c r="I34" s="273">
        <f t="shared" si="2"/>
        <v>0</v>
      </c>
      <c r="J34" s="273">
        <f t="shared" si="3"/>
        <v>0</v>
      </c>
      <c r="K34" s="273">
        <f t="shared" si="4"/>
        <v>0</v>
      </c>
      <c r="L34" s="273">
        <f t="shared" si="5"/>
        <v>0</v>
      </c>
      <c r="M34" s="273">
        <f t="shared" si="6"/>
        <v>0</v>
      </c>
      <c r="N34" s="273">
        <f t="shared" si="7"/>
        <v>0</v>
      </c>
    </row>
    <row r="35" spans="1:14" ht="12.75">
      <c r="A35" s="272">
        <v>25</v>
      </c>
      <c r="B35" s="328" t="s">
        <v>894</v>
      </c>
      <c r="C35" s="273">
        <v>0</v>
      </c>
      <c r="D35" s="301">
        <v>50</v>
      </c>
      <c r="E35" s="273">
        <f t="shared" si="0"/>
        <v>0</v>
      </c>
      <c r="F35" s="273">
        <f t="shared" si="1"/>
        <v>0</v>
      </c>
      <c r="G35" s="273">
        <v>0</v>
      </c>
      <c r="H35" s="273">
        <v>0</v>
      </c>
      <c r="I35" s="273">
        <f t="shared" si="2"/>
        <v>0</v>
      </c>
      <c r="J35" s="273">
        <f t="shared" si="3"/>
        <v>0</v>
      </c>
      <c r="K35" s="273">
        <f t="shared" si="4"/>
        <v>0</v>
      </c>
      <c r="L35" s="273">
        <f t="shared" si="5"/>
        <v>0</v>
      </c>
      <c r="M35" s="273">
        <f t="shared" si="6"/>
        <v>0</v>
      </c>
      <c r="N35" s="273">
        <f t="shared" si="7"/>
        <v>0</v>
      </c>
    </row>
    <row r="36" spans="1:14" ht="12.75">
      <c r="A36" s="272">
        <v>26</v>
      </c>
      <c r="B36" s="328" t="s">
        <v>895</v>
      </c>
      <c r="C36" s="273">
        <v>0</v>
      </c>
      <c r="D36" s="301">
        <v>50</v>
      </c>
      <c r="E36" s="273">
        <f t="shared" si="0"/>
        <v>0</v>
      </c>
      <c r="F36" s="273">
        <f t="shared" si="1"/>
        <v>0</v>
      </c>
      <c r="G36" s="273">
        <v>0</v>
      </c>
      <c r="H36" s="273"/>
      <c r="I36" s="273">
        <f t="shared" si="2"/>
        <v>0</v>
      </c>
      <c r="J36" s="273">
        <f t="shared" si="3"/>
        <v>0</v>
      </c>
      <c r="K36" s="273">
        <f t="shared" si="4"/>
        <v>0</v>
      </c>
      <c r="L36" s="273">
        <f t="shared" si="5"/>
        <v>0</v>
      </c>
      <c r="M36" s="273">
        <f t="shared" si="6"/>
        <v>0</v>
      </c>
      <c r="N36" s="273">
        <f t="shared" si="7"/>
        <v>0</v>
      </c>
    </row>
    <row r="37" spans="1:15" ht="12.75">
      <c r="A37" s="272">
        <v>27</v>
      </c>
      <c r="B37" s="328" t="s">
        <v>896</v>
      </c>
      <c r="C37" s="273">
        <v>58198</v>
      </c>
      <c r="D37" s="301">
        <v>50</v>
      </c>
      <c r="E37" s="273">
        <f t="shared" si="0"/>
        <v>290.99</v>
      </c>
      <c r="F37" s="273">
        <f t="shared" si="1"/>
        <v>290.99</v>
      </c>
      <c r="G37" s="273">
        <v>0</v>
      </c>
      <c r="H37" s="273"/>
      <c r="I37" s="273">
        <f t="shared" si="2"/>
        <v>58.19800000000001</v>
      </c>
      <c r="J37" s="273">
        <f t="shared" si="3"/>
        <v>11.639600000000002</v>
      </c>
      <c r="K37" s="273">
        <f t="shared" si="4"/>
        <v>11.639600000000002</v>
      </c>
      <c r="L37" s="273">
        <f t="shared" si="5"/>
        <v>11.639600000000002</v>
      </c>
      <c r="M37" s="273">
        <f t="shared" si="6"/>
        <v>11.639600000000002</v>
      </c>
      <c r="N37" s="273">
        <f t="shared" si="7"/>
        <v>11.639600000000002</v>
      </c>
      <c r="O37" s="253" t="s">
        <v>975</v>
      </c>
    </row>
    <row r="38" spans="1:15" ht="12.75">
      <c r="A38" s="272">
        <v>28</v>
      </c>
      <c r="B38" s="328" t="s">
        <v>897</v>
      </c>
      <c r="C38" s="273">
        <v>2209</v>
      </c>
      <c r="D38" s="301">
        <v>50</v>
      </c>
      <c r="E38" s="273">
        <f t="shared" si="0"/>
        <v>11.045</v>
      </c>
      <c r="F38" s="273">
        <f t="shared" si="1"/>
        <v>11.045</v>
      </c>
      <c r="G38" s="273">
        <v>0</v>
      </c>
      <c r="H38" s="273">
        <v>0</v>
      </c>
      <c r="I38" s="273">
        <f t="shared" si="2"/>
        <v>2.209</v>
      </c>
      <c r="J38" s="273">
        <f t="shared" si="3"/>
        <v>0.4418</v>
      </c>
      <c r="K38" s="273">
        <f t="shared" si="4"/>
        <v>0.4418</v>
      </c>
      <c r="L38" s="273">
        <f t="shared" si="5"/>
        <v>0.4418</v>
      </c>
      <c r="M38" s="273">
        <f t="shared" si="6"/>
        <v>0.4418</v>
      </c>
      <c r="N38" s="273">
        <f t="shared" si="7"/>
        <v>0.4418</v>
      </c>
      <c r="O38" s="253" t="s">
        <v>975</v>
      </c>
    </row>
    <row r="39" spans="1:14" ht="12.75">
      <c r="A39" s="272">
        <v>29</v>
      </c>
      <c r="B39" s="328" t="s">
        <v>898</v>
      </c>
      <c r="C39" s="273">
        <v>0</v>
      </c>
      <c r="D39" s="301">
        <v>50</v>
      </c>
      <c r="E39" s="273">
        <f t="shared" si="0"/>
        <v>0</v>
      </c>
      <c r="F39" s="273">
        <f t="shared" si="1"/>
        <v>0</v>
      </c>
      <c r="G39" s="273">
        <v>0</v>
      </c>
      <c r="H39" s="273">
        <v>0</v>
      </c>
      <c r="I39" s="273">
        <f t="shared" si="2"/>
        <v>0</v>
      </c>
      <c r="J39" s="273">
        <f t="shared" si="3"/>
        <v>0</v>
      </c>
      <c r="K39" s="273">
        <f t="shared" si="4"/>
        <v>0</v>
      </c>
      <c r="L39" s="273">
        <f t="shared" si="5"/>
        <v>0</v>
      </c>
      <c r="M39" s="273">
        <f t="shared" si="6"/>
        <v>0</v>
      </c>
      <c r="N39" s="273">
        <f t="shared" si="7"/>
        <v>0</v>
      </c>
    </row>
    <row r="40" spans="1:14" ht="12.75">
      <c r="A40" s="272">
        <v>30</v>
      </c>
      <c r="B40" s="328" t="s">
        <v>899</v>
      </c>
      <c r="C40" s="273">
        <v>0</v>
      </c>
      <c r="D40" s="301">
        <v>50</v>
      </c>
      <c r="E40" s="273">
        <f t="shared" si="0"/>
        <v>0</v>
      </c>
      <c r="F40" s="273">
        <f t="shared" si="1"/>
        <v>0</v>
      </c>
      <c r="G40" s="273">
        <v>0</v>
      </c>
      <c r="H40" s="273"/>
      <c r="I40" s="273">
        <f t="shared" si="2"/>
        <v>0</v>
      </c>
      <c r="J40" s="273">
        <f t="shared" si="3"/>
        <v>0</v>
      </c>
      <c r="K40" s="273">
        <f t="shared" si="4"/>
        <v>0</v>
      </c>
      <c r="L40" s="273">
        <f t="shared" si="5"/>
        <v>0</v>
      </c>
      <c r="M40" s="273">
        <f t="shared" si="6"/>
        <v>0</v>
      </c>
      <c r="N40" s="273">
        <f t="shared" si="7"/>
        <v>0</v>
      </c>
    </row>
    <row r="41" spans="1:14" ht="12.75">
      <c r="A41" s="272">
        <v>31</v>
      </c>
      <c r="B41" s="328" t="s">
        <v>900</v>
      </c>
      <c r="C41" s="273">
        <v>0</v>
      </c>
      <c r="D41" s="301">
        <v>50</v>
      </c>
      <c r="E41" s="273">
        <f t="shared" si="0"/>
        <v>0</v>
      </c>
      <c r="F41" s="273">
        <f t="shared" si="1"/>
        <v>0</v>
      </c>
      <c r="G41" s="273">
        <v>0</v>
      </c>
      <c r="H41" s="273">
        <v>0</v>
      </c>
      <c r="I41" s="273">
        <f t="shared" si="2"/>
        <v>0</v>
      </c>
      <c r="J41" s="273">
        <f t="shared" si="3"/>
        <v>0</v>
      </c>
      <c r="K41" s="273">
        <f t="shared" si="4"/>
        <v>0</v>
      </c>
      <c r="L41" s="273">
        <f t="shared" si="5"/>
        <v>0</v>
      </c>
      <c r="M41" s="273">
        <f t="shared" si="6"/>
        <v>0</v>
      </c>
      <c r="N41" s="273">
        <f t="shared" si="7"/>
        <v>0</v>
      </c>
    </row>
    <row r="42" spans="1:14" ht="12.75">
      <c r="A42" s="272">
        <v>32</v>
      </c>
      <c r="B42" s="328" t="s">
        <v>901</v>
      </c>
      <c r="C42" s="273">
        <v>0</v>
      </c>
      <c r="D42" s="301">
        <v>50</v>
      </c>
      <c r="E42" s="273">
        <f t="shared" si="0"/>
        <v>0</v>
      </c>
      <c r="F42" s="273">
        <f t="shared" si="1"/>
        <v>0</v>
      </c>
      <c r="G42" s="273">
        <v>0</v>
      </c>
      <c r="H42" s="273">
        <v>0</v>
      </c>
      <c r="I42" s="273">
        <f t="shared" si="2"/>
        <v>0</v>
      </c>
      <c r="J42" s="273">
        <f t="shared" si="3"/>
        <v>0</v>
      </c>
      <c r="K42" s="273">
        <f t="shared" si="4"/>
        <v>0</v>
      </c>
      <c r="L42" s="273">
        <f t="shared" si="5"/>
        <v>0</v>
      </c>
      <c r="M42" s="273">
        <f t="shared" si="6"/>
        <v>0</v>
      </c>
      <c r="N42" s="273">
        <f t="shared" si="7"/>
        <v>0</v>
      </c>
    </row>
    <row r="43" spans="1:14" ht="12.75">
      <c r="A43" s="272">
        <v>33</v>
      </c>
      <c r="B43" s="328" t="s">
        <v>902</v>
      </c>
      <c r="C43" s="273">
        <v>0</v>
      </c>
      <c r="D43" s="301">
        <v>50</v>
      </c>
      <c r="E43" s="273">
        <f t="shared" si="0"/>
        <v>0</v>
      </c>
      <c r="F43" s="273">
        <f t="shared" si="1"/>
        <v>0</v>
      </c>
      <c r="G43" s="273">
        <v>0</v>
      </c>
      <c r="H43" s="273"/>
      <c r="I43" s="273">
        <f t="shared" si="2"/>
        <v>0</v>
      </c>
      <c r="J43" s="273">
        <f t="shared" si="3"/>
        <v>0</v>
      </c>
      <c r="K43" s="273">
        <f t="shared" si="4"/>
        <v>0</v>
      </c>
      <c r="L43" s="273">
        <f t="shared" si="5"/>
        <v>0</v>
      </c>
      <c r="M43" s="273">
        <f t="shared" si="6"/>
        <v>0</v>
      </c>
      <c r="N43" s="273">
        <f t="shared" si="7"/>
        <v>0</v>
      </c>
    </row>
    <row r="44" spans="1:15" ht="12.75">
      <c r="A44" s="272">
        <v>34</v>
      </c>
      <c r="B44" s="328" t="s">
        <v>903</v>
      </c>
      <c r="C44" s="273">
        <v>81005</v>
      </c>
      <c r="D44" s="301">
        <v>50</v>
      </c>
      <c r="E44" s="273">
        <f t="shared" si="0"/>
        <v>405.02500000000003</v>
      </c>
      <c r="F44" s="273">
        <f t="shared" si="1"/>
        <v>405.02500000000003</v>
      </c>
      <c r="G44" s="273">
        <v>0</v>
      </c>
      <c r="H44" s="273"/>
      <c r="I44" s="273">
        <f t="shared" si="2"/>
        <v>81.005</v>
      </c>
      <c r="J44" s="273">
        <f t="shared" si="3"/>
        <v>16.201</v>
      </c>
      <c r="K44" s="273">
        <f t="shared" si="4"/>
        <v>16.201</v>
      </c>
      <c r="L44" s="273">
        <f t="shared" si="5"/>
        <v>16.201</v>
      </c>
      <c r="M44" s="273">
        <f t="shared" si="6"/>
        <v>16.201</v>
      </c>
      <c r="N44" s="273">
        <f t="shared" si="7"/>
        <v>16.201</v>
      </c>
      <c r="O44" s="253" t="s">
        <v>975</v>
      </c>
    </row>
    <row r="45" spans="1:15" ht="12.75">
      <c r="A45" s="272">
        <v>35</v>
      </c>
      <c r="B45" s="328" t="s">
        <v>904</v>
      </c>
      <c r="C45" s="273">
        <v>167690</v>
      </c>
      <c r="D45" s="301">
        <v>50</v>
      </c>
      <c r="E45" s="273">
        <f t="shared" si="0"/>
        <v>838.45</v>
      </c>
      <c r="F45" s="273">
        <f t="shared" si="1"/>
        <v>838.45</v>
      </c>
      <c r="G45" s="273">
        <v>0</v>
      </c>
      <c r="H45" s="273">
        <v>0</v>
      </c>
      <c r="I45" s="273">
        <f t="shared" si="2"/>
        <v>167.69000000000003</v>
      </c>
      <c r="J45" s="273">
        <f t="shared" si="3"/>
        <v>33.538000000000004</v>
      </c>
      <c r="K45" s="273">
        <f t="shared" si="4"/>
        <v>33.538000000000004</v>
      </c>
      <c r="L45" s="273">
        <f t="shared" si="5"/>
        <v>33.538000000000004</v>
      </c>
      <c r="M45" s="273">
        <f t="shared" si="6"/>
        <v>33.538000000000004</v>
      </c>
      <c r="N45" s="273">
        <f t="shared" si="7"/>
        <v>33.538000000000004</v>
      </c>
      <c r="O45" s="253" t="s">
        <v>975</v>
      </c>
    </row>
    <row r="46" spans="1:14" ht="12.75">
      <c r="A46" s="272" t="s">
        <v>19</v>
      </c>
      <c r="B46" s="273"/>
      <c r="C46" s="273">
        <f>SUM(C11:C45)</f>
        <v>1795567</v>
      </c>
      <c r="D46" s="273">
        <f aca="true" t="shared" si="8" ref="D46:N46">SUM(D11:D45)</f>
        <v>1750</v>
      </c>
      <c r="E46" s="273">
        <f t="shared" si="8"/>
        <v>8977.835000000001</v>
      </c>
      <c r="F46" s="273">
        <f t="shared" si="8"/>
        <v>8977.835000000001</v>
      </c>
      <c r="G46" s="273">
        <f t="shared" si="8"/>
        <v>0</v>
      </c>
      <c r="H46" s="273">
        <f t="shared" si="8"/>
        <v>0</v>
      </c>
      <c r="I46" s="273">
        <f t="shared" si="8"/>
        <v>1795.5670000000005</v>
      </c>
      <c r="J46" s="273">
        <f t="shared" si="8"/>
        <v>359.1134000000001</v>
      </c>
      <c r="K46" s="273">
        <f t="shared" si="8"/>
        <v>359.1134000000001</v>
      </c>
      <c r="L46" s="273">
        <f t="shared" si="8"/>
        <v>359.1134000000001</v>
      </c>
      <c r="M46" s="273">
        <f t="shared" si="8"/>
        <v>359.1134000000001</v>
      </c>
      <c r="N46" s="273">
        <f t="shared" si="8"/>
        <v>359.1134000000001</v>
      </c>
    </row>
    <row r="47" spans="1:14" ht="12.75">
      <c r="A47" s="274"/>
      <c r="B47" s="274"/>
      <c r="C47" s="274"/>
      <c r="D47" s="274"/>
      <c r="E47" s="271"/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ht="12.75">
      <c r="A48" s="275"/>
      <c r="B48" s="276"/>
      <c r="C48" s="276"/>
      <c r="D48" s="274"/>
      <c r="E48" s="271"/>
      <c r="F48" s="271"/>
      <c r="G48" s="271"/>
      <c r="H48" s="271"/>
      <c r="I48" s="271"/>
      <c r="J48" s="271"/>
      <c r="K48" s="271"/>
      <c r="L48" s="271"/>
      <c r="M48" s="271"/>
      <c r="N48" s="271"/>
    </row>
    <row r="49" spans="1:14" ht="12.75">
      <c r="A49" s="277"/>
      <c r="B49" s="277"/>
      <c r="C49" s="277"/>
      <c r="E49" s="271"/>
      <c r="F49" s="271"/>
      <c r="G49" s="271"/>
      <c r="H49" s="271"/>
      <c r="I49" s="271"/>
      <c r="J49" s="271"/>
      <c r="K49" s="271"/>
      <c r="L49" s="271"/>
      <c r="M49" s="271"/>
      <c r="N49" s="271"/>
    </row>
    <row r="50" spans="1:14" ht="12.75">
      <c r="A50" s="277"/>
      <c r="B50" s="277"/>
      <c r="C50" s="277"/>
      <c r="E50" s="271"/>
      <c r="F50" s="271"/>
      <c r="G50" s="271"/>
      <c r="H50" s="271"/>
      <c r="I50" s="271"/>
      <c r="J50" s="271"/>
      <c r="K50" s="271"/>
      <c r="L50" s="271"/>
      <c r="M50" s="271"/>
      <c r="N50" s="271"/>
    </row>
    <row r="51" spans="1:14" ht="12.75" customHeight="1">
      <c r="A51" s="277"/>
      <c r="B51" s="277"/>
      <c r="C51" s="748" t="s">
        <v>1021</v>
      </c>
      <c r="D51" s="748"/>
      <c r="E51" s="748"/>
      <c r="F51" s="748"/>
      <c r="G51" s="607"/>
      <c r="H51" s="607"/>
      <c r="I51" s="271"/>
      <c r="J51" s="271"/>
      <c r="K51" s="748" t="s">
        <v>1024</v>
      </c>
      <c r="L51" s="748"/>
      <c r="M51" s="748"/>
      <c r="N51" s="748"/>
    </row>
    <row r="52" spans="1:14" ht="12.75" customHeight="1">
      <c r="A52" s="277"/>
      <c r="B52" s="277"/>
      <c r="C52" s="748" t="s">
        <v>1022</v>
      </c>
      <c r="D52" s="748"/>
      <c r="E52" s="748"/>
      <c r="F52" s="748"/>
      <c r="G52" s="607"/>
      <c r="H52" s="607"/>
      <c r="I52" s="271"/>
      <c r="J52" s="271"/>
      <c r="K52" s="748" t="s">
        <v>1025</v>
      </c>
      <c r="L52" s="748"/>
      <c r="M52" s="748"/>
      <c r="N52" s="748"/>
    </row>
    <row r="53" spans="1:14" ht="12.75">
      <c r="A53" s="277" t="s">
        <v>12</v>
      </c>
      <c r="C53" s="735" t="s">
        <v>1023</v>
      </c>
      <c r="D53" s="735"/>
      <c r="E53" s="735"/>
      <c r="F53" s="735"/>
      <c r="G53" s="607"/>
      <c r="H53" s="607"/>
      <c r="I53" s="271"/>
      <c r="J53" s="271"/>
      <c r="K53" s="735" t="s">
        <v>1023</v>
      </c>
      <c r="L53" s="735"/>
      <c r="M53" s="735"/>
      <c r="N53" s="735"/>
    </row>
    <row r="54" spans="4:14" ht="12.75" customHeight="1">
      <c r="D54"/>
      <c r="E54"/>
      <c r="F54"/>
      <c r="G54"/>
      <c r="H54"/>
      <c r="I54"/>
      <c r="J54" s="601"/>
      <c r="K54" s="601"/>
      <c r="L54" s="601"/>
      <c r="M54" s="601"/>
      <c r="N54" s="601"/>
    </row>
    <row r="55" spans="5:14" ht="12.75" customHeight="1">
      <c r="E55" s="601"/>
      <c r="F55" s="601"/>
      <c r="G55" s="601"/>
      <c r="H55" s="601"/>
      <c r="I55" s="601"/>
      <c r="J55" s="601"/>
      <c r="K55" s="601"/>
      <c r="L55" s="601"/>
      <c r="M55" s="601"/>
      <c r="N55" s="601"/>
    </row>
    <row r="56" spans="1:14" ht="12.75">
      <c r="A56" s="277"/>
      <c r="B56" s="277"/>
      <c r="E56" s="271"/>
      <c r="F56" s="277"/>
      <c r="G56" s="277"/>
      <c r="H56" s="277"/>
      <c r="I56" s="277"/>
      <c r="J56" s="277"/>
      <c r="K56" s="277"/>
      <c r="L56" s="277"/>
      <c r="M56" s="277"/>
      <c r="N56" s="277"/>
    </row>
    <row r="58" spans="1:14" ht="12.75">
      <c r="A58" s="1021"/>
      <c r="B58" s="1021"/>
      <c r="C58" s="1021"/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</row>
  </sheetData>
  <sheetProtection/>
  <mergeCells count="20">
    <mergeCell ref="A58:N58"/>
    <mergeCell ref="C8:C9"/>
    <mergeCell ref="H7:N7"/>
    <mergeCell ref="A8:A9"/>
    <mergeCell ref="B8:B9"/>
    <mergeCell ref="D8:D9"/>
    <mergeCell ref="E8:H8"/>
    <mergeCell ref="I8:N8"/>
    <mergeCell ref="C51:F51"/>
    <mergeCell ref="K51:N51"/>
    <mergeCell ref="C52:F52"/>
    <mergeCell ref="K52:N52"/>
    <mergeCell ref="C53:F53"/>
    <mergeCell ref="K53:N53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7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view="pageBreakPreview" zoomScaleNormal="70" zoomScaleSheetLayoutView="100" zoomScalePageLayoutView="0" workbookViewId="0" topLeftCell="A34">
      <selection activeCell="C50" sqref="C50:N52"/>
    </sheetView>
  </sheetViews>
  <sheetFormatPr defaultColWidth="9.140625" defaultRowHeight="12.75"/>
  <cols>
    <col min="1" max="1" width="5.57421875" style="271" customWidth="1"/>
    <col min="2" max="2" width="11.28125" style="271" customWidth="1"/>
    <col min="3" max="3" width="10.28125" style="271" customWidth="1"/>
    <col min="4" max="4" width="12.8515625" style="271" customWidth="1"/>
    <col min="5" max="5" width="8.7109375" style="253" customWidth="1"/>
    <col min="6" max="7" width="8.00390625" style="253" customWidth="1"/>
    <col min="8" max="10" width="8.140625" style="253" customWidth="1"/>
    <col min="11" max="11" width="8.421875" style="253" customWidth="1"/>
    <col min="12" max="12" width="8.140625" style="253" customWidth="1"/>
    <col min="13" max="13" width="11.28125" style="253" customWidth="1"/>
    <col min="14" max="14" width="11.8515625" style="253" customWidth="1"/>
    <col min="15" max="15" width="0" style="253" hidden="1" customWidth="1"/>
    <col min="16" max="16384" width="9.140625" style="253" customWidth="1"/>
  </cols>
  <sheetData>
    <row r="1" spans="4:14" ht="12.75" customHeight="1">
      <c r="D1" s="1032"/>
      <c r="E1" s="1032"/>
      <c r="F1" s="271"/>
      <c r="G1" s="271"/>
      <c r="H1" s="271"/>
      <c r="I1" s="271"/>
      <c r="J1" s="271"/>
      <c r="K1" s="271"/>
      <c r="L1" s="271"/>
      <c r="M1" s="1031" t="s">
        <v>763</v>
      </c>
      <c r="N1" s="1031"/>
    </row>
    <row r="2" spans="1:14" ht="15.75">
      <c r="A2" s="1033" t="s">
        <v>0</v>
      </c>
      <c r="B2" s="1033"/>
      <c r="C2" s="1033"/>
      <c r="D2" s="1033"/>
      <c r="E2" s="1033"/>
      <c r="F2" s="1033"/>
      <c r="G2" s="1033"/>
      <c r="H2" s="1033"/>
      <c r="I2" s="1033"/>
      <c r="J2" s="1033"/>
      <c r="K2" s="1033"/>
      <c r="L2" s="1033"/>
      <c r="M2" s="1033"/>
      <c r="N2" s="1033"/>
    </row>
    <row r="3" spans="1:14" ht="18">
      <c r="A3" s="1029" t="s">
        <v>656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</row>
    <row r="4" spans="1:14" ht="9.75" customHeight="1">
      <c r="A4" s="1043" t="s">
        <v>762</v>
      </c>
      <c r="B4" s="1043"/>
      <c r="C4" s="1043"/>
      <c r="D4" s="1043"/>
      <c r="E4" s="1043"/>
      <c r="F4" s="1043"/>
      <c r="G4" s="1043"/>
      <c r="H4" s="1043"/>
      <c r="I4" s="1043"/>
      <c r="J4" s="1043"/>
      <c r="K4" s="1043"/>
      <c r="L4" s="1043"/>
      <c r="M4" s="1043"/>
      <c r="N4" s="1043"/>
    </row>
    <row r="5" spans="1:14" s="254" customFormat="1" ht="18.75" customHeight="1">
      <c r="A5" s="1043"/>
      <c r="B5" s="1043"/>
      <c r="C5" s="1043"/>
      <c r="D5" s="1043"/>
      <c r="E5" s="1043"/>
      <c r="F5" s="1043"/>
      <c r="G5" s="1043"/>
      <c r="H5" s="1043"/>
      <c r="I5" s="1043"/>
      <c r="J5" s="1043"/>
      <c r="K5" s="1043"/>
      <c r="L5" s="1043"/>
      <c r="M5" s="1043"/>
      <c r="N5" s="1043"/>
    </row>
    <row r="6" spans="1:14" ht="12.75">
      <c r="A6" s="1034"/>
      <c r="B6" s="1034"/>
      <c r="C6" s="1034"/>
      <c r="D6" s="1034"/>
      <c r="E6" s="1034"/>
      <c r="F6" s="1034"/>
      <c r="G6" s="1034"/>
      <c r="H6" s="1034"/>
      <c r="I6" s="1034"/>
      <c r="J6" s="1034"/>
      <c r="K6" s="1034"/>
      <c r="L6" s="1034"/>
      <c r="M6" s="1034"/>
      <c r="N6" s="1034"/>
    </row>
    <row r="7" spans="1:14" ht="12.75">
      <c r="A7" s="208" t="s">
        <v>1020</v>
      </c>
      <c r="B7" s="208"/>
      <c r="C7" s="209"/>
      <c r="D7" s="299"/>
      <c r="E7" s="271"/>
      <c r="F7" s="271"/>
      <c r="G7" s="271"/>
      <c r="H7" s="1037"/>
      <c r="I7" s="1037"/>
      <c r="J7" s="1037"/>
      <c r="K7" s="1037"/>
      <c r="L7" s="1037"/>
      <c r="M7" s="1037"/>
      <c r="N7" s="1037"/>
    </row>
    <row r="8" spans="1:14" ht="24.75" customHeight="1">
      <c r="A8" s="950" t="s">
        <v>2</v>
      </c>
      <c r="B8" s="950" t="s">
        <v>3</v>
      </c>
      <c r="C8" s="1035" t="s">
        <v>505</v>
      </c>
      <c r="D8" s="1038" t="s">
        <v>85</v>
      </c>
      <c r="E8" s="1040" t="s">
        <v>86</v>
      </c>
      <c r="F8" s="1041"/>
      <c r="G8" s="1041"/>
      <c r="H8" s="1042"/>
      <c r="I8" s="1040" t="s">
        <v>735</v>
      </c>
      <c r="J8" s="1041"/>
      <c r="K8" s="1041"/>
      <c r="L8" s="1041"/>
      <c r="M8" s="1041"/>
      <c r="N8" s="1041"/>
    </row>
    <row r="9" spans="1:14" ht="44.25" customHeight="1">
      <c r="A9" s="950"/>
      <c r="B9" s="950"/>
      <c r="C9" s="1036"/>
      <c r="D9" s="1039"/>
      <c r="E9" s="318" t="s">
        <v>90</v>
      </c>
      <c r="F9" s="318" t="s">
        <v>21</v>
      </c>
      <c r="G9" s="318" t="s">
        <v>42</v>
      </c>
      <c r="H9" s="318" t="s">
        <v>836</v>
      </c>
      <c r="I9" s="300" t="s">
        <v>19</v>
      </c>
      <c r="J9" s="604" t="s">
        <v>914</v>
      </c>
      <c r="K9" s="604" t="s">
        <v>915</v>
      </c>
      <c r="L9" s="604" t="s">
        <v>967</v>
      </c>
      <c r="M9" s="604" t="s">
        <v>966</v>
      </c>
      <c r="N9" s="604" t="s">
        <v>965</v>
      </c>
    </row>
    <row r="10" spans="1:14" s="255" customFormat="1" ht="12.75">
      <c r="A10" s="300">
        <v>1</v>
      </c>
      <c r="B10" s="300">
        <v>2</v>
      </c>
      <c r="C10" s="300">
        <v>3</v>
      </c>
      <c r="D10" s="300">
        <v>8</v>
      </c>
      <c r="E10" s="300">
        <v>9</v>
      </c>
      <c r="F10" s="300">
        <v>10</v>
      </c>
      <c r="G10" s="300">
        <v>11</v>
      </c>
      <c r="H10" s="300">
        <v>12</v>
      </c>
      <c r="I10" s="300">
        <v>13</v>
      </c>
      <c r="J10" s="300">
        <v>14</v>
      </c>
      <c r="K10" s="300">
        <v>15</v>
      </c>
      <c r="L10" s="300">
        <v>16</v>
      </c>
      <c r="M10" s="300">
        <v>17</v>
      </c>
      <c r="N10" s="300">
        <v>18</v>
      </c>
    </row>
    <row r="11" spans="1:15" ht="12.75">
      <c r="A11" s="272">
        <v>1</v>
      </c>
      <c r="B11" s="328" t="s">
        <v>870</v>
      </c>
      <c r="C11" s="273">
        <v>306</v>
      </c>
      <c r="D11" s="301">
        <v>50</v>
      </c>
      <c r="E11" s="448">
        <f>F11</f>
        <v>2.295</v>
      </c>
      <c r="F11" s="448">
        <f>C11*D11*0.00015</f>
        <v>2.295</v>
      </c>
      <c r="G11" s="448">
        <v>0</v>
      </c>
      <c r="H11" s="448">
        <v>0</v>
      </c>
      <c r="I11" s="448">
        <f>J11+K11+L11+M11+N11</f>
        <v>0.459</v>
      </c>
      <c r="J11" s="448">
        <f>C11*10*0.00003</f>
        <v>0.0918</v>
      </c>
      <c r="K11" s="448">
        <f>C11*10*0.00003</f>
        <v>0.0918</v>
      </c>
      <c r="L11" s="448">
        <f>C11*10*0.00003</f>
        <v>0.0918</v>
      </c>
      <c r="M11" s="448">
        <f>C11*10*0.00003</f>
        <v>0.0918</v>
      </c>
      <c r="N11" s="448">
        <f>C11*10*0.00003</f>
        <v>0.0918</v>
      </c>
      <c r="O11" s="253" t="s">
        <v>975</v>
      </c>
    </row>
    <row r="12" spans="1:15" ht="12.75">
      <c r="A12" s="272">
        <v>2</v>
      </c>
      <c r="B12" s="328" t="s">
        <v>871</v>
      </c>
      <c r="C12" s="273">
        <v>96193</v>
      </c>
      <c r="D12" s="301">
        <v>50</v>
      </c>
      <c r="E12" s="448">
        <f aca="true" t="shared" si="0" ref="E12:E45">F12</f>
        <v>721.4475</v>
      </c>
      <c r="F12" s="448">
        <f aca="true" t="shared" si="1" ref="F12:F45">C12*D12*0.00015</f>
        <v>721.4475</v>
      </c>
      <c r="G12" s="448">
        <v>0</v>
      </c>
      <c r="H12" s="448">
        <v>0</v>
      </c>
      <c r="I12" s="448">
        <f aca="true" t="shared" si="2" ref="I12:I45">J12+K12+L12+M12+N12</f>
        <v>144.2895</v>
      </c>
      <c r="J12" s="448">
        <f aca="true" t="shared" si="3" ref="J12:J45">C12*10*0.00003</f>
        <v>28.8579</v>
      </c>
      <c r="K12" s="448">
        <f aca="true" t="shared" si="4" ref="K12:K45">C12*10*0.00003</f>
        <v>28.8579</v>
      </c>
      <c r="L12" s="448">
        <f aca="true" t="shared" si="5" ref="L12:L45">C12*10*0.00003</f>
        <v>28.8579</v>
      </c>
      <c r="M12" s="448">
        <f aca="true" t="shared" si="6" ref="M12:M45">C12*10*0.00003</f>
        <v>28.8579</v>
      </c>
      <c r="N12" s="448">
        <f aca="true" t="shared" si="7" ref="N12:N45">C12*10*0.00003</f>
        <v>28.8579</v>
      </c>
      <c r="O12" s="253" t="s">
        <v>975</v>
      </c>
    </row>
    <row r="13" spans="1:15" ht="12.75">
      <c r="A13" s="272">
        <v>3</v>
      </c>
      <c r="B13" s="328" t="s">
        <v>872</v>
      </c>
      <c r="C13" s="273">
        <v>96942</v>
      </c>
      <c r="D13" s="301">
        <v>50</v>
      </c>
      <c r="E13" s="448">
        <f t="shared" si="0"/>
        <v>727.0649999999999</v>
      </c>
      <c r="F13" s="448">
        <f t="shared" si="1"/>
        <v>727.0649999999999</v>
      </c>
      <c r="G13" s="448">
        <v>0</v>
      </c>
      <c r="H13" s="448">
        <v>0</v>
      </c>
      <c r="I13" s="448">
        <f t="shared" si="2"/>
        <v>145.413</v>
      </c>
      <c r="J13" s="448">
        <f t="shared" si="3"/>
        <v>29.0826</v>
      </c>
      <c r="K13" s="448">
        <f t="shared" si="4"/>
        <v>29.0826</v>
      </c>
      <c r="L13" s="448">
        <f t="shared" si="5"/>
        <v>29.0826</v>
      </c>
      <c r="M13" s="448">
        <f t="shared" si="6"/>
        <v>29.0826</v>
      </c>
      <c r="N13" s="448">
        <f t="shared" si="7"/>
        <v>29.0826</v>
      </c>
      <c r="O13" s="253" t="s">
        <v>975</v>
      </c>
    </row>
    <row r="14" spans="1:15" ht="12.75">
      <c r="A14" s="272">
        <v>4</v>
      </c>
      <c r="B14" s="328" t="s">
        <v>873</v>
      </c>
      <c r="C14" s="273">
        <v>109463</v>
      </c>
      <c r="D14" s="301">
        <v>50</v>
      </c>
      <c r="E14" s="448">
        <f t="shared" si="0"/>
        <v>820.9725</v>
      </c>
      <c r="F14" s="448">
        <f t="shared" si="1"/>
        <v>820.9725</v>
      </c>
      <c r="G14" s="448">
        <v>0</v>
      </c>
      <c r="H14" s="448">
        <v>0</v>
      </c>
      <c r="I14" s="448">
        <f t="shared" si="2"/>
        <v>164.1945</v>
      </c>
      <c r="J14" s="448">
        <f t="shared" si="3"/>
        <v>32.8389</v>
      </c>
      <c r="K14" s="448">
        <f t="shared" si="4"/>
        <v>32.8389</v>
      </c>
      <c r="L14" s="448">
        <f t="shared" si="5"/>
        <v>32.8389</v>
      </c>
      <c r="M14" s="448">
        <f t="shared" si="6"/>
        <v>32.8389</v>
      </c>
      <c r="N14" s="448">
        <f t="shared" si="7"/>
        <v>32.8389</v>
      </c>
      <c r="O14" s="253" t="s">
        <v>975</v>
      </c>
    </row>
    <row r="15" spans="1:14" ht="12.75">
      <c r="A15" s="272">
        <v>5</v>
      </c>
      <c r="B15" s="328" t="s">
        <v>874</v>
      </c>
      <c r="C15" s="273">
        <v>0</v>
      </c>
      <c r="D15" s="301">
        <v>50</v>
      </c>
      <c r="E15" s="448">
        <f t="shared" si="0"/>
        <v>0</v>
      </c>
      <c r="F15" s="448">
        <f t="shared" si="1"/>
        <v>0</v>
      </c>
      <c r="G15" s="448">
        <v>0</v>
      </c>
      <c r="H15" s="448">
        <v>0</v>
      </c>
      <c r="I15" s="448">
        <f t="shared" si="2"/>
        <v>0</v>
      </c>
      <c r="J15" s="448">
        <f t="shared" si="3"/>
        <v>0</v>
      </c>
      <c r="K15" s="448">
        <f t="shared" si="4"/>
        <v>0</v>
      </c>
      <c r="L15" s="448">
        <f t="shared" si="5"/>
        <v>0</v>
      </c>
      <c r="M15" s="448">
        <f t="shared" si="6"/>
        <v>0</v>
      </c>
      <c r="N15" s="448">
        <f t="shared" si="7"/>
        <v>0</v>
      </c>
    </row>
    <row r="16" spans="1:15" ht="12.75">
      <c r="A16" s="272">
        <v>6</v>
      </c>
      <c r="B16" s="328" t="s">
        <v>875</v>
      </c>
      <c r="C16" s="273">
        <v>1401</v>
      </c>
      <c r="D16" s="301">
        <v>50</v>
      </c>
      <c r="E16" s="448">
        <f t="shared" si="0"/>
        <v>10.507499999999999</v>
      </c>
      <c r="F16" s="448">
        <f t="shared" si="1"/>
        <v>10.507499999999999</v>
      </c>
      <c r="G16" s="448">
        <v>0</v>
      </c>
      <c r="H16" s="448">
        <v>0</v>
      </c>
      <c r="I16" s="448">
        <f t="shared" si="2"/>
        <v>2.1015</v>
      </c>
      <c r="J16" s="448">
        <f t="shared" si="3"/>
        <v>0.4203</v>
      </c>
      <c r="K16" s="448">
        <f t="shared" si="4"/>
        <v>0.4203</v>
      </c>
      <c r="L16" s="448">
        <f t="shared" si="5"/>
        <v>0.4203</v>
      </c>
      <c r="M16" s="448">
        <f t="shared" si="6"/>
        <v>0.4203</v>
      </c>
      <c r="N16" s="448">
        <f t="shared" si="7"/>
        <v>0.4203</v>
      </c>
      <c r="O16" s="253" t="s">
        <v>975</v>
      </c>
    </row>
    <row r="17" spans="1:15" ht="12.75">
      <c r="A17" s="272">
        <v>7</v>
      </c>
      <c r="B17" s="328" t="s">
        <v>876</v>
      </c>
      <c r="C17" s="273">
        <v>54503</v>
      </c>
      <c r="D17" s="301">
        <v>50</v>
      </c>
      <c r="E17" s="448">
        <f t="shared" si="0"/>
        <v>408.7725</v>
      </c>
      <c r="F17" s="448">
        <f t="shared" si="1"/>
        <v>408.7725</v>
      </c>
      <c r="G17" s="448">
        <v>0</v>
      </c>
      <c r="H17" s="448">
        <v>0</v>
      </c>
      <c r="I17" s="448">
        <f t="shared" si="2"/>
        <v>81.7545</v>
      </c>
      <c r="J17" s="448">
        <f t="shared" si="3"/>
        <v>16.3509</v>
      </c>
      <c r="K17" s="448">
        <f t="shared" si="4"/>
        <v>16.3509</v>
      </c>
      <c r="L17" s="448">
        <f t="shared" si="5"/>
        <v>16.3509</v>
      </c>
      <c r="M17" s="448">
        <f t="shared" si="6"/>
        <v>16.3509</v>
      </c>
      <c r="N17" s="448">
        <f t="shared" si="7"/>
        <v>16.3509</v>
      </c>
      <c r="O17" s="253" t="s">
        <v>976</v>
      </c>
    </row>
    <row r="18" spans="1:15" ht="12.75">
      <c r="A18" s="272">
        <v>8</v>
      </c>
      <c r="B18" s="328" t="s">
        <v>877</v>
      </c>
      <c r="C18" s="273">
        <v>63610</v>
      </c>
      <c r="D18" s="301">
        <v>50</v>
      </c>
      <c r="E18" s="448">
        <f t="shared" si="0"/>
        <v>477.07499999999993</v>
      </c>
      <c r="F18" s="448">
        <f t="shared" si="1"/>
        <v>477.07499999999993</v>
      </c>
      <c r="G18" s="448">
        <v>0</v>
      </c>
      <c r="H18" s="448">
        <v>0</v>
      </c>
      <c r="I18" s="448">
        <f t="shared" si="2"/>
        <v>95.415</v>
      </c>
      <c r="J18" s="448">
        <f t="shared" si="3"/>
        <v>19.083000000000002</v>
      </c>
      <c r="K18" s="448">
        <f t="shared" si="4"/>
        <v>19.083000000000002</v>
      </c>
      <c r="L18" s="448">
        <f t="shared" si="5"/>
        <v>19.083000000000002</v>
      </c>
      <c r="M18" s="448">
        <f t="shared" si="6"/>
        <v>19.083000000000002</v>
      </c>
      <c r="N18" s="448">
        <f t="shared" si="7"/>
        <v>19.083000000000002</v>
      </c>
      <c r="O18" s="253" t="s">
        <v>975</v>
      </c>
    </row>
    <row r="19" spans="1:15" ht="12.75">
      <c r="A19" s="272">
        <v>9</v>
      </c>
      <c r="B19" s="328" t="s">
        <v>878</v>
      </c>
      <c r="C19" s="273">
        <v>86215</v>
      </c>
      <c r="D19" s="301">
        <v>50</v>
      </c>
      <c r="E19" s="448">
        <f t="shared" si="0"/>
        <v>646.6125</v>
      </c>
      <c r="F19" s="448">
        <f t="shared" si="1"/>
        <v>646.6125</v>
      </c>
      <c r="G19" s="448">
        <v>0</v>
      </c>
      <c r="H19" s="448">
        <v>0</v>
      </c>
      <c r="I19" s="448">
        <f t="shared" si="2"/>
        <v>129.3225</v>
      </c>
      <c r="J19" s="448">
        <f t="shared" si="3"/>
        <v>25.8645</v>
      </c>
      <c r="K19" s="448">
        <f t="shared" si="4"/>
        <v>25.8645</v>
      </c>
      <c r="L19" s="448">
        <f t="shared" si="5"/>
        <v>25.8645</v>
      </c>
      <c r="M19" s="448">
        <f t="shared" si="6"/>
        <v>25.8645</v>
      </c>
      <c r="N19" s="448">
        <f t="shared" si="7"/>
        <v>25.8645</v>
      </c>
      <c r="O19" s="253" t="s">
        <v>975</v>
      </c>
    </row>
    <row r="20" spans="1:15" ht="12.75">
      <c r="A20" s="272">
        <v>10</v>
      </c>
      <c r="B20" s="328" t="s">
        <v>879</v>
      </c>
      <c r="C20" s="273">
        <v>42199</v>
      </c>
      <c r="D20" s="301">
        <v>50</v>
      </c>
      <c r="E20" s="448">
        <f t="shared" si="0"/>
        <v>316.49249999999995</v>
      </c>
      <c r="F20" s="448">
        <f t="shared" si="1"/>
        <v>316.49249999999995</v>
      </c>
      <c r="G20" s="448">
        <v>0</v>
      </c>
      <c r="H20" s="448">
        <v>0</v>
      </c>
      <c r="I20" s="448">
        <f t="shared" si="2"/>
        <v>63.298500000000004</v>
      </c>
      <c r="J20" s="448">
        <f t="shared" si="3"/>
        <v>12.6597</v>
      </c>
      <c r="K20" s="448">
        <f t="shared" si="4"/>
        <v>12.6597</v>
      </c>
      <c r="L20" s="448">
        <f t="shared" si="5"/>
        <v>12.6597</v>
      </c>
      <c r="M20" s="448">
        <f t="shared" si="6"/>
        <v>12.6597</v>
      </c>
      <c r="N20" s="448">
        <f t="shared" si="7"/>
        <v>12.6597</v>
      </c>
      <c r="O20" s="253" t="s">
        <v>975</v>
      </c>
    </row>
    <row r="21" spans="1:15" ht="12.75">
      <c r="A21" s="272">
        <v>11</v>
      </c>
      <c r="B21" s="328" t="s">
        <v>880</v>
      </c>
      <c r="C21" s="273">
        <v>23313</v>
      </c>
      <c r="D21" s="301">
        <v>50</v>
      </c>
      <c r="E21" s="448">
        <f t="shared" si="0"/>
        <v>174.8475</v>
      </c>
      <c r="F21" s="448">
        <f t="shared" si="1"/>
        <v>174.8475</v>
      </c>
      <c r="G21" s="448">
        <v>0</v>
      </c>
      <c r="H21" s="448">
        <v>0</v>
      </c>
      <c r="I21" s="448">
        <f t="shared" si="2"/>
        <v>34.9695</v>
      </c>
      <c r="J21" s="448">
        <f t="shared" si="3"/>
        <v>6.9939</v>
      </c>
      <c r="K21" s="448">
        <f t="shared" si="4"/>
        <v>6.9939</v>
      </c>
      <c r="L21" s="448">
        <f t="shared" si="5"/>
        <v>6.9939</v>
      </c>
      <c r="M21" s="448">
        <f t="shared" si="6"/>
        <v>6.9939</v>
      </c>
      <c r="N21" s="448">
        <f t="shared" si="7"/>
        <v>6.9939</v>
      </c>
      <c r="O21" s="253" t="s">
        <v>975</v>
      </c>
    </row>
    <row r="22" spans="1:14" ht="12.75">
      <c r="A22" s="272">
        <v>12</v>
      </c>
      <c r="B22" s="328" t="s">
        <v>881</v>
      </c>
      <c r="C22" s="273">
        <v>0</v>
      </c>
      <c r="D22" s="301">
        <v>50</v>
      </c>
      <c r="E22" s="448">
        <f t="shared" si="0"/>
        <v>0</v>
      </c>
      <c r="F22" s="448">
        <f t="shared" si="1"/>
        <v>0</v>
      </c>
      <c r="G22" s="448">
        <v>0</v>
      </c>
      <c r="H22" s="448">
        <v>0</v>
      </c>
      <c r="I22" s="448">
        <f t="shared" si="2"/>
        <v>0</v>
      </c>
      <c r="J22" s="448">
        <f t="shared" si="3"/>
        <v>0</v>
      </c>
      <c r="K22" s="448">
        <f t="shared" si="4"/>
        <v>0</v>
      </c>
      <c r="L22" s="448">
        <f t="shared" si="5"/>
        <v>0</v>
      </c>
      <c r="M22" s="448">
        <f t="shared" si="6"/>
        <v>0</v>
      </c>
      <c r="N22" s="448">
        <f t="shared" si="7"/>
        <v>0</v>
      </c>
    </row>
    <row r="23" spans="1:15" ht="12.75">
      <c r="A23" s="272">
        <v>13</v>
      </c>
      <c r="B23" s="328" t="s">
        <v>882</v>
      </c>
      <c r="C23" s="273">
        <v>165346</v>
      </c>
      <c r="D23" s="301">
        <v>50</v>
      </c>
      <c r="E23" s="448">
        <f t="shared" si="0"/>
        <v>1240.0949999999998</v>
      </c>
      <c r="F23" s="448">
        <f t="shared" si="1"/>
        <v>1240.0949999999998</v>
      </c>
      <c r="G23" s="448">
        <v>0</v>
      </c>
      <c r="H23" s="448">
        <v>0</v>
      </c>
      <c r="I23" s="448">
        <f t="shared" si="2"/>
        <v>248.019</v>
      </c>
      <c r="J23" s="448">
        <f t="shared" si="3"/>
        <v>49.6038</v>
      </c>
      <c r="K23" s="448">
        <f t="shared" si="4"/>
        <v>49.6038</v>
      </c>
      <c r="L23" s="448">
        <f t="shared" si="5"/>
        <v>49.6038</v>
      </c>
      <c r="M23" s="448">
        <f t="shared" si="6"/>
        <v>49.6038</v>
      </c>
      <c r="N23" s="448">
        <f t="shared" si="7"/>
        <v>49.6038</v>
      </c>
      <c r="O23" s="253" t="s">
        <v>975</v>
      </c>
    </row>
    <row r="24" spans="1:15" ht="12.75">
      <c r="A24" s="272">
        <v>14</v>
      </c>
      <c r="B24" s="328" t="s">
        <v>883</v>
      </c>
      <c r="C24" s="273">
        <v>2526</v>
      </c>
      <c r="D24" s="301">
        <v>50</v>
      </c>
      <c r="E24" s="448">
        <f t="shared" si="0"/>
        <v>18.944999999999997</v>
      </c>
      <c r="F24" s="448">
        <f t="shared" si="1"/>
        <v>18.944999999999997</v>
      </c>
      <c r="G24" s="448">
        <v>0</v>
      </c>
      <c r="H24" s="448">
        <v>0</v>
      </c>
      <c r="I24" s="448">
        <f t="shared" si="2"/>
        <v>3.789</v>
      </c>
      <c r="J24" s="448">
        <f t="shared" si="3"/>
        <v>0.7578</v>
      </c>
      <c r="K24" s="448">
        <f t="shared" si="4"/>
        <v>0.7578</v>
      </c>
      <c r="L24" s="448">
        <f t="shared" si="5"/>
        <v>0.7578</v>
      </c>
      <c r="M24" s="448">
        <f t="shared" si="6"/>
        <v>0.7578</v>
      </c>
      <c r="N24" s="448">
        <f t="shared" si="7"/>
        <v>0.7578</v>
      </c>
      <c r="O24" s="253" t="s">
        <v>975</v>
      </c>
    </row>
    <row r="25" spans="1:14" ht="12.75">
      <c r="A25" s="272">
        <v>15</v>
      </c>
      <c r="B25" s="328" t="s">
        <v>884</v>
      </c>
      <c r="C25" s="273">
        <v>0</v>
      </c>
      <c r="D25" s="301">
        <v>50</v>
      </c>
      <c r="E25" s="448">
        <f t="shared" si="0"/>
        <v>0</v>
      </c>
      <c r="F25" s="448">
        <f t="shared" si="1"/>
        <v>0</v>
      </c>
      <c r="G25" s="448">
        <v>0</v>
      </c>
      <c r="H25" s="448">
        <v>0</v>
      </c>
      <c r="I25" s="448">
        <f t="shared" si="2"/>
        <v>0</v>
      </c>
      <c r="J25" s="448">
        <f t="shared" si="3"/>
        <v>0</v>
      </c>
      <c r="K25" s="448">
        <f t="shared" si="4"/>
        <v>0</v>
      </c>
      <c r="L25" s="448">
        <f t="shared" si="5"/>
        <v>0</v>
      </c>
      <c r="M25" s="448">
        <f t="shared" si="6"/>
        <v>0</v>
      </c>
      <c r="N25" s="448">
        <f t="shared" si="7"/>
        <v>0</v>
      </c>
    </row>
    <row r="26" spans="1:15" ht="12.75">
      <c r="A26" s="272">
        <v>16</v>
      </c>
      <c r="B26" s="328" t="s">
        <v>885</v>
      </c>
      <c r="C26" s="273">
        <v>18343</v>
      </c>
      <c r="D26" s="301">
        <v>50</v>
      </c>
      <c r="E26" s="448">
        <f t="shared" si="0"/>
        <v>137.5725</v>
      </c>
      <c r="F26" s="448">
        <f t="shared" si="1"/>
        <v>137.5725</v>
      </c>
      <c r="G26" s="448">
        <v>0</v>
      </c>
      <c r="H26" s="448">
        <v>0</v>
      </c>
      <c r="I26" s="448">
        <f t="shared" si="2"/>
        <v>27.5145</v>
      </c>
      <c r="J26" s="448">
        <f t="shared" si="3"/>
        <v>5.5029</v>
      </c>
      <c r="K26" s="448">
        <f t="shared" si="4"/>
        <v>5.5029</v>
      </c>
      <c r="L26" s="448">
        <f t="shared" si="5"/>
        <v>5.5029</v>
      </c>
      <c r="M26" s="448">
        <f t="shared" si="6"/>
        <v>5.5029</v>
      </c>
      <c r="N26" s="448">
        <f t="shared" si="7"/>
        <v>5.5029</v>
      </c>
      <c r="O26" s="253" t="s">
        <v>975</v>
      </c>
    </row>
    <row r="27" spans="1:14" ht="12.75">
      <c r="A27" s="272">
        <v>17</v>
      </c>
      <c r="B27" s="328" t="s">
        <v>886</v>
      </c>
      <c r="C27" s="273">
        <v>0</v>
      </c>
      <c r="D27" s="301">
        <v>50</v>
      </c>
      <c r="E27" s="448">
        <f t="shared" si="0"/>
        <v>0</v>
      </c>
      <c r="F27" s="448">
        <f t="shared" si="1"/>
        <v>0</v>
      </c>
      <c r="G27" s="448">
        <v>0</v>
      </c>
      <c r="H27" s="448">
        <v>0</v>
      </c>
      <c r="I27" s="448">
        <v>0</v>
      </c>
      <c r="J27" s="448">
        <v>0</v>
      </c>
      <c r="K27" s="448">
        <f t="shared" si="4"/>
        <v>0</v>
      </c>
      <c r="L27" s="448">
        <f t="shared" si="5"/>
        <v>0</v>
      </c>
      <c r="M27" s="448">
        <f t="shared" si="6"/>
        <v>0</v>
      </c>
      <c r="N27" s="448">
        <f t="shared" si="7"/>
        <v>0</v>
      </c>
    </row>
    <row r="28" spans="1:14" ht="12.75">
      <c r="A28" s="272">
        <v>18</v>
      </c>
      <c r="B28" s="328" t="s">
        <v>887</v>
      </c>
      <c r="C28" s="273"/>
      <c r="D28" s="301">
        <v>50</v>
      </c>
      <c r="E28" s="448">
        <f t="shared" si="0"/>
        <v>0</v>
      </c>
      <c r="F28" s="448">
        <f t="shared" si="1"/>
        <v>0</v>
      </c>
      <c r="G28" s="448">
        <v>0</v>
      </c>
      <c r="H28" s="448">
        <v>0</v>
      </c>
      <c r="I28" s="448">
        <f t="shared" si="2"/>
        <v>0</v>
      </c>
      <c r="J28" s="448">
        <f t="shared" si="3"/>
        <v>0</v>
      </c>
      <c r="K28" s="448">
        <f t="shared" si="4"/>
        <v>0</v>
      </c>
      <c r="L28" s="448">
        <f t="shared" si="5"/>
        <v>0</v>
      </c>
      <c r="M28" s="448">
        <f t="shared" si="6"/>
        <v>0</v>
      </c>
      <c r="N28" s="448">
        <f t="shared" si="7"/>
        <v>0</v>
      </c>
    </row>
    <row r="29" spans="1:15" ht="12.75">
      <c r="A29" s="272">
        <v>19</v>
      </c>
      <c r="B29" s="328" t="s">
        <v>888</v>
      </c>
      <c r="C29" s="273">
        <v>86896</v>
      </c>
      <c r="D29" s="301">
        <v>50</v>
      </c>
      <c r="E29" s="448">
        <f t="shared" si="0"/>
        <v>651.7199999999999</v>
      </c>
      <c r="F29" s="448">
        <f t="shared" si="1"/>
        <v>651.7199999999999</v>
      </c>
      <c r="G29" s="448">
        <v>0</v>
      </c>
      <c r="H29" s="448">
        <v>0</v>
      </c>
      <c r="I29" s="448">
        <f t="shared" si="2"/>
        <v>130.344</v>
      </c>
      <c r="J29" s="448">
        <f t="shared" si="3"/>
        <v>26.0688</v>
      </c>
      <c r="K29" s="448">
        <f t="shared" si="4"/>
        <v>26.0688</v>
      </c>
      <c r="L29" s="448">
        <f t="shared" si="5"/>
        <v>26.0688</v>
      </c>
      <c r="M29" s="448">
        <f t="shared" si="6"/>
        <v>26.0688</v>
      </c>
      <c r="N29" s="448">
        <f t="shared" si="7"/>
        <v>26.0688</v>
      </c>
      <c r="O29" s="253" t="s">
        <v>975</v>
      </c>
    </row>
    <row r="30" spans="1:14" ht="12.75">
      <c r="A30" s="272">
        <v>20</v>
      </c>
      <c r="B30" s="328" t="s">
        <v>889</v>
      </c>
      <c r="C30" s="273">
        <v>0</v>
      </c>
      <c r="D30" s="301">
        <v>50</v>
      </c>
      <c r="E30" s="448">
        <f t="shared" si="0"/>
        <v>0</v>
      </c>
      <c r="F30" s="448">
        <f t="shared" si="1"/>
        <v>0</v>
      </c>
      <c r="G30" s="448">
        <v>0</v>
      </c>
      <c r="H30" s="448">
        <v>0</v>
      </c>
      <c r="I30" s="448">
        <f t="shared" si="2"/>
        <v>0</v>
      </c>
      <c r="J30" s="448">
        <f t="shared" si="3"/>
        <v>0</v>
      </c>
      <c r="K30" s="448">
        <f t="shared" si="4"/>
        <v>0</v>
      </c>
      <c r="L30" s="448">
        <f t="shared" si="5"/>
        <v>0</v>
      </c>
      <c r="M30" s="448">
        <f t="shared" si="6"/>
        <v>0</v>
      </c>
      <c r="N30" s="448">
        <f t="shared" si="7"/>
        <v>0</v>
      </c>
    </row>
    <row r="31" spans="1:14" ht="12.75">
      <c r="A31" s="272">
        <v>21</v>
      </c>
      <c r="B31" s="328" t="s">
        <v>890</v>
      </c>
      <c r="C31" s="273">
        <v>0</v>
      </c>
      <c r="D31" s="301">
        <v>50</v>
      </c>
      <c r="E31" s="448">
        <f t="shared" si="0"/>
        <v>0</v>
      </c>
      <c r="F31" s="448">
        <f t="shared" si="1"/>
        <v>0</v>
      </c>
      <c r="G31" s="448">
        <v>0</v>
      </c>
      <c r="H31" s="448">
        <v>0</v>
      </c>
      <c r="I31" s="448">
        <f t="shared" si="2"/>
        <v>0</v>
      </c>
      <c r="J31" s="448">
        <f t="shared" si="3"/>
        <v>0</v>
      </c>
      <c r="K31" s="448">
        <f t="shared" si="4"/>
        <v>0</v>
      </c>
      <c r="L31" s="448">
        <f t="shared" si="5"/>
        <v>0</v>
      </c>
      <c r="M31" s="448">
        <f t="shared" si="6"/>
        <v>0</v>
      </c>
      <c r="N31" s="448">
        <f t="shared" si="7"/>
        <v>0</v>
      </c>
    </row>
    <row r="32" spans="1:14" ht="12.75">
      <c r="A32" s="272">
        <v>22</v>
      </c>
      <c r="B32" s="328" t="s">
        <v>891</v>
      </c>
      <c r="C32" s="273">
        <v>0</v>
      </c>
      <c r="D32" s="301">
        <v>50</v>
      </c>
      <c r="E32" s="448">
        <f t="shared" si="0"/>
        <v>0</v>
      </c>
      <c r="F32" s="448">
        <f t="shared" si="1"/>
        <v>0</v>
      </c>
      <c r="G32" s="448">
        <v>0</v>
      </c>
      <c r="H32" s="448">
        <v>0</v>
      </c>
      <c r="I32" s="448">
        <f t="shared" si="2"/>
        <v>0</v>
      </c>
      <c r="J32" s="448">
        <f t="shared" si="3"/>
        <v>0</v>
      </c>
      <c r="K32" s="448">
        <f t="shared" si="4"/>
        <v>0</v>
      </c>
      <c r="L32" s="448">
        <f t="shared" si="5"/>
        <v>0</v>
      </c>
      <c r="M32" s="448">
        <f t="shared" si="6"/>
        <v>0</v>
      </c>
      <c r="N32" s="448">
        <f t="shared" si="7"/>
        <v>0</v>
      </c>
    </row>
    <row r="33" spans="1:15" ht="12.75">
      <c r="A33" s="272">
        <v>23</v>
      </c>
      <c r="B33" s="328" t="s">
        <v>892</v>
      </c>
      <c r="C33" s="273">
        <v>90666</v>
      </c>
      <c r="D33" s="301">
        <v>50</v>
      </c>
      <c r="E33" s="448">
        <f t="shared" si="0"/>
        <v>679.9949999999999</v>
      </c>
      <c r="F33" s="448">
        <f t="shared" si="1"/>
        <v>679.9949999999999</v>
      </c>
      <c r="G33" s="448">
        <v>0</v>
      </c>
      <c r="H33" s="448">
        <v>0</v>
      </c>
      <c r="I33" s="448">
        <f t="shared" si="2"/>
        <v>135.999</v>
      </c>
      <c r="J33" s="448">
        <f t="shared" si="3"/>
        <v>27.1998</v>
      </c>
      <c r="K33" s="448">
        <f t="shared" si="4"/>
        <v>27.1998</v>
      </c>
      <c r="L33" s="448">
        <f t="shared" si="5"/>
        <v>27.1998</v>
      </c>
      <c r="M33" s="448">
        <f t="shared" si="6"/>
        <v>27.1998</v>
      </c>
      <c r="N33" s="448">
        <f t="shared" si="7"/>
        <v>27.1998</v>
      </c>
      <c r="O33" s="253" t="s">
        <v>975</v>
      </c>
    </row>
    <row r="34" spans="1:14" ht="12.75">
      <c r="A34" s="272">
        <v>24</v>
      </c>
      <c r="B34" s="328" t="s">
        <v>893</v>
      </c>
      <c r="C34" s="273">
        <v>0</v>
      </c>
      <c r="D34" s="301">
        <v>50</v>
      </c>
      <c r="E34" s="448">
        <f t="shared" si="0"/>
        <v>0</v>
      </c>
      <c r="F34" s="448">
        <f t="shared" si="1"/>
        <v>0</v>
      </c>
      <c r="G34" s="448">
        <v>0</v>
      </c>
      <c r="H34" s="448">
        <v>0</v>
      </c>
      <c r="I34" s="448">
        <f t="shared" si="2"/>
        <v>0</v>
      </c>
      <c r="J34" s="448">
        <f t="shared" si="3"/>
        <v>0</v>
      </c>
      <c r="K34" s="448">
        <f t="shared" si="4"/>
        <v>0</v>
      </c>
      <c r="L34" s="448">
        <f t="shared" si="5"/>
        <v>0</v>
      </c>
      <c r="M34" s="448">
        <f t="shared" si="6"/>
        <v>0</v>
      </c>
      <c r="N34" s="448">
        <f t="shared" si="7"/>
        <v>0</v>
      </c>
    </row>
    <row r="35" spans="1:14" ht="12.75">
      <c r="A35" s="272">
        <v>25</v>
      </c>
      <c r="B35" s="328" t="s">
        <v>894</v>
      </c>
      <c r="C35" s="273">
        <v>0</v>
      </c>
      <c r="D35" s="301">
        <v>50</v>
      </c>
      <c r="E35" s="448">
        <f t="shared" si="0"/>
        <v>0</v>
      </c>
      <c r="F35" s="448">
        <f t="shared" si="1"/>
        <v>0</v>
      </c>
      <c r="G35" s="448">
        <v>0</v>
      </c>
      <c r="H35" s="448">
        <v>0</v>
      </c>
      <c r="I35" s="448">
        <f t="shared" si="2"/>
        <v>0</v>
      </c>
      <c r="J35" s="448">
        <f t="shared" si="3"/>
        <v>0</v>
      </c>
      <c r="K35" s="448">
        <f t="shared" si="4"/>
        <v>0</v>
      </c>
      <c r="L35" s="448">
        <f t="shared" si="5"/>
        <v>0</v>
      </c>
      <c r="M35" s="448">
        <f t="shared" si="6"/>
        <v>0</v>
      </c>
      <c r="N35" s="448">
        <f t="shared" si="7"/>
        <v>0</v>
      </c>
    </row>
    <row r="36" spans="1:14" ht="12.75">
      <c r="A36" s="272">
        <v>26</v>
      </c>
      <c r="B36" s="328" t="s">
        <v>895</v>
      </c>
      <c r="C36" s="273">
        <v>0</v>
      </c>
      <c r="D36" s="301">
        <v>50</v>
      </c>
      <c r="E36" s="448">
        <f t="shared" si="0"/>
        <v>0</v>
      </c>
      <c r="F36" s="448">
        <f t="shared" si="1"/>
        <v>0</v>
      </c>
      <c r="G36" s="448">
        <v>0</v>
      </c>
      <c r="H36" s="448">
        <v>0</v>
      </c>
      <c r="I36" s="448">
        <f t="shared" si="2"/>
        <v>0</v>
      </c>
      <c r="J36" s="448">
        <f t="shared" si="3"/>
        <v>0</v>
      </c>
      <c r="K36" s="448">
        <f t="shared" si="4"/>
        <v>0</v>
      </c>
      <c r="L36" s="448">
        <f t="shared" si="5"/>
        <v>0</v>
      </c>
      <c r="M36" s="448">
        <f t="shared" si="6"/>
        <v>0</v>
      </c>
      <c r="N36" s="448">
        <f t="shared" si="7"/>
        <v>0</v>
      </c>
    </row>
    <row r="37" spans="1:15" ht="12.75">
      <c r="A37" s="272">
        <v>27</v>
      </c>
      <c r="B37" s="328" t="s">
        <v>896</v>
      </c>
      <c r="C37" s="273">
        <v>36476</v>
      </c>
      <c r="D37" s="301">
        <v>50</v>
      </c>
      <c r="E37" s="448">
        <f t="shared" si="0"/>
        <v>273.57</v>
      </c>
      <c r="F37" s="448">
        <f t="shared" si="1"/>
        <v>273.57</v>
      </c>
      <c r="G37" s="448">
        <v>0</v>
      </c>
      <c r="H37" s="448">
        <v>0</v>
      </c>
      <c r="I37" s="448">
        <f t="shared" si="2"/>
        <v>54.714</v>
      </c>
      <c r="J37" s="448">
        <f t="shared" si="3"/>
        <v>10.9428</v>
      </c>
      <c r="K37" s="448">
        <f t="shared" si="4"/>
        <v>10.9428</v>
      </c>
      <c r="L37" s="448">
        <f t="shared" si="5"/>
        <v>10.9428</v>
      </c>
      <c r="M37" s="448">
        <f t="shared" si="6"/>
        <v>10.9428</v>
      </c>
      <c r="N37" s="448">
        <f t="shared" si="7"/>
        <v>10.9428</v>
      </c>
      <c r="O37" s="253" t="s">
        <v>975</v>
      </c>
    </row>
    <row r="38" spans="1:15" ht="12.75">
      <c r="A38" s="272">
        <v>28</v>
      </c>
      <c r="B38" s="328" t="s">
        <v>897</v>
      </c>
      <c r="C38" s="273">
        <v>1429</v>
      </c>
      <c r="D38" s="301">
        <v>50</v>
      </c>
      <c r="E38" s="448">
        <f t="shared" si="0"/>
        <v>10.7175</v>
      </c>
      <c r="F38" s="448">
        <f t="shared" si="1"/>
        <v>10.7175</v>
      </c>
      <c r="G38" s="448">
        <v>0</v>
      </c>
      <c r="H38" s="448">
        <v>0</v>
      </c>
      <c r="I38" s="448">
        <f t="shared" si="2"/>
        <v>2.1435</v>
      </c>
      <c r="J38" s="448">
        <f t="shared" si="3"/>
        <v>0.4287</v>
      </c>
      <c r="K38" s="448">
        <f t="shared" si="4"/>
        <v>0.4287</v>
      </c>
      <c r="L38" s="448">
        <f t="shared" si="5"/>
        <v>0.4287</v>
      </c>
      <c r="M38" s="448">
        <f t="shared" si="6"/>
        <v>0.4287</v>
      </c>
      <c r="N38" s="448">
        <f t="shared" si="7"/>
        <v>0.4287</v>
      </c>
      <c r="O38" s="253" t="s">
        <v>975</v>
      </c>
    </row>
    <row r="39" spans="1:14" ht="12.75">
      <c r="A39" s="272">
        <v>29</v>
      </c>
      <c r="B39" s="328" t="s">
        <v>898</v>
      </c>
      <c r="C39" s="273">
        <v>0</v>
      </c>
      <c r="D39" s="301">
        <v>50</v>
      </c>
      <c r="E39" s="448">
        <f t="shared" si="0"/>
        <v>0</v>
      </c>
      <c r="F39" s="448">
        <f t="shared" si="1"/>
        <v>0</v>
      </c>
      <c r="G39" s="448">
        <v>0</v>
      </c>
      <c r="H39" s="448">
        <v>0</v>
      </c>
      <c r="I39" s="448">
        <f t="shared" si="2"/>
        <v>0</v>
      </c>
      <c r="J39" s="448">
        <f t="shared" si="3"/>
        <v>0</v>
      </c>
      <c r="K39" s="448">
        <f t="shared" si="4"/>
        <v>0</v>
      </c>
      <c r="L39" s="448">
        <f t="shared" si="5"/>
        <v>0</v>
      </c>
      <c r="M39" s="448">
        <f t="shared" si="6"/>
        <v>0</v>
      </c>
      <c r="N39" s="448">
        <f t="shared" si="7"/>
        <v>0</v>
      </c>
    </row>
    <row r="40" spans="1:14" ht="12.75">
      <c r="A40" s="272">
        <v>30</v>
      </c>
      <c r="B40" s="328" t="s">
        <v>899</v>
      </c>
      <c r="C40" s="273">
        <v>0</v>
      </c>
      <c r="D40" s="301">
        <v>50</v>
      </c>
      <c r="E40" s="448">
        <f t="shared" si="0"/>
        <v>0</v>
      </c>
      <c r="F40" s="448">
        <f t="shared" si="1"/>
        <v>0</v>
      </c>
      <c r="G40" s="448">
        <v>0</v>
      </c>
      <c r="H40" s="448">
        <v>0</v>
      </c>
      <c r="I40" s="448">
        <f t="shared" si="2"/>
        <v>0</v>
      </c>
      <c r="J40" s="448">
        <f t="shared" si="3"/>
        <v>0</v>
      </c>
      <c r="K40" s="448">
        <f t="shared" si="4"/>
        <v>0</v>
      </c>
      <c r="L40" s="448">
        <f t="shared" si="5"/>
        <v>0</v>
      </c>
      <c r="M40" s="448">
        <f t="shared" si="6"/>
        <v>0</v>
      </c>
      <c r="N40" s="448">
        <f t="shared" si="7"/>
        <v>0</v>
      </c>
    </row>
    <row r="41" spans="1:14" ht="12.75">
      <c r="A41" s="272">
        <v>31</v>
      </c>
      <c r="B41" s="328" t="s">
        <v>900</v>
      </c>
      <c r="C41" s="273">
        <v>0</v>
      </c>
      <c r="D41" s="301">
        <v>50</v>
      </c>
      <c r="E41" s="448">
        <f t="shared" si="0"/>
        <v>0</v>
      </c>
      <c r="F41" s="448">
        <f t="shared" si="1"/>
        <v>0</v>
      </c>
      <c r="G41" s="448">
        <v>0</v>
      </c>
      <c r="H41" s="448">
        <v>0</v>
      </c>
      <c r="I41" s="448">
        <f t="shared" si="2"/>
        <v>0</v>
      </c>
      <c r="J41" s="448">
        <f t="shared" si="3"/>
        <v>0</v>
      </c>
      <c r="K41" s="448">
        <f t="shared" si="4"/>
        <v>0</v>
      </c>
      <c r="L41" s="448">
        <f t="shared" si="5"/>
        <v>0</v>
      </c>
      <c r="M41" s="448">
        <f t="shared" si="6"/>
        <v>0</v>
      </c>
      <c r="N41" s="448">
        <f t="shared" si="7"/>
        <v>0</v>
      </c>
    </row>
    <row r="42" spans="1:14" ht="12.75">
      <c r="A42" s="272">
        <v>32</v>
      </c>
      <c r="B42" s="328" t="s">
        <v>901</v>
      </c>
      <c r="C42" s="273">
        <v>0</v>
      </c>
      <c r="D42" s="301">
        <v>50</v>
      </c>
      <c r="E42" s="448">
        <f t="shared" si="0"/>
        <v>0</v>
      </c>
      <c r="F42" s="448">
        <f t="shared" si="1"/>
        <v>0</v>
      </c>
      <c r="G42" s="448">
        <v>0</v>
      </c>
      <c r="H42" s="448">
        <v>0</v>
      </c>
      <c r="I42" s="448">
        <f t="shared" si="2"/>
        <v>0</v>
      </c>
      <c r="J42" s="448">
        <f t="shared" si="3"/>
        <v>0</v>
      </c>
      <c r="K42" s="448">
        <f t="shared" si="4"/>
        <v>0</v>
      </c>
      <c r="L42" s="448">
        <f t="shared" si="5"/>
        <v>0</v>
      </c>
      <c r="M42" s="448">
        <f t="shared" si="6"/>
        <v>0</v>
      </c>
      <c r="N42" s="448">
        <f t="shared" si="7"/>
        <v>0</v>
      </c>
    </row>
    <row r="43" spans="1:14" ht="12.75">
      <c r="A43" s="272">
        <v>33</v>
      </c>
      <c r="B43" s="328" t="s">
        <v>902</v>
      </c>
      <c r="C43" s="273">
        <v>0</v>
      </c>
      <c r="D43" s="301">
        <v>50</v>
      </c>
      <c r="E43" s="448">
        <f t="shared" si="0"/>
        <v>0</v>
      </c>
      <c r="F43" s="448">
        <f t="shared" si="1"/>
        <v>0</v>
      </c>
      <c r="G43" s="448">
        <v>0</v>
      </c>
      <c r="H43" s="448">
        <v>0</v>
      </c>
      <c r="I43" s="448">
        <f t="shared" si="2"/>
        <v>0</v>
      </c>
      <c r="J43" s="448">
        <f t="shared" si="3"/>
        <v>0</v>
      </c>
      <c r="K43" s="448">
        <f t="shared" si="4"/>
        <v>0</v>
      </c>
      <c r="L43" s="448">
        <f t="shared" si="5"/>
        <v>0</v>
      </c>
      <c r="M43" s="448">
        <f t="shared" si="6"/>
        <v>0</v>
      </c>
      <c r="N43" s="448">
        <f t="shared" si="7"/>
        <v>0</v>
      </c>
    </row>
    <row r="44" spans="1:15" ht="12.75">
      <c r="A44" s="272">
        <v>34</v>
      </c>
      <c r="B44" s="328" t="s">
        <v>903</v>
      </c>
      <c r="C44" s="273">
        <v>61227</v>
      </c>
      <c r="D44" s="301">
        <v>50</v>
      </c>
      <c r="E44" s="448">
        <f t="shared" si="0"/>
        <v>459.2025</v>
      </c>
      <c r="F44" s="448">
        <f t="shared" si="1"/>
        <v>459.2025</v>
      </c>
      <c r="G44" s="448">
        <v>0</v>
      </c>
      <c r="H44" s="448">
        <v>0</v>
      </c>
      <c r="I44" s="448">
        <f t="shared" si="2"/>
        <v>91.8405</v>
      </c>
      <c r="J44" s="448">
        <f t="shared" si="3"/>
        <v>18.368100000000002</v>
      </c>
      <c r="K44" s="448">
        <f t="shared" si="4"/>
        <v>18.368100000000002</v>
      </c>
      <c r="L44" s="448">
        <f t="shared" si="5"/>
        <v>18.368100000000002</v>
      </c>
      <c r="M44" s="448">
        <f t="shared" si="6"/>
        <v>18.368100000000002</v>
      </c>
      <c r="N44" s="448">
        <f t="shared" si="7"/>
        <v>18.368100000000002</v>
      </c>
      <c r="O44" s="253" t="s">
        <v>975</v>
      </c>
    </row>
    <row r="45" spans="1:15" ht="12.75">
      <c r="A45" s="272">
        <v>35</v>
      </c>
      <c r="B45" s="328" t="s">
        <v>904</v>
      </c>
      <c r="C45" s="273">
        <v>103749</v>
      </c>
      <c r="D45" s="301">
        <v>50</v>
      </c>
      <c r="E45" s="448">
        <f t="shared" si="0"/>
        <v>778.1175</v>
      </c>
      <c r="F45" s="448">
        <f t="shared" si="1"/>
        <v>778.1175</v>
      </c>
      <c r="G45" s="448">
        <v>0</v>
      </c>
      <c r="H45" s="448">
        <v>0</v>
      </c>
      <c r="I45" s="448">
        <f t="shared" si="2"/>
        <v>155.6235</v>
      </c>
      <c r="J45" s="448">
        <f t="shared" si="3"/>
        <v>31.1247</v>
      </c>
      <c r="K45" s="448">
        <f t="shared" si="4"/>
        <v>31.1247</v>
      </c>
      <c r="L45" s="448">
        <f t="shared" si="5"/>
        <v>31.1247</v>
      </c>
      <c r="M45" s="448">
        <f t="shared" si="6"/>
        <v>31.1247</v>
      </c>
      <c r="N45" s="448">
        <f t="shared" si="7"/>
        <v>31.1247</v>
      </c>
      <c r="O45" s="253" t="s">
        <v>975</v>
      </c>
    </row>
    <row r="46" spans="1:14" ht="12.75">
      <c r="A46" s="272" t="s">
        <v>19</v>
      </c>
      <c r="B46" s="273"/>
      <c r="C46" s="273">
        <f>SUM(C11:C45)</f>
        <v>1140803</v>
      </c>
      <c r="D46" s="273">
        <f aca="true" t="shared" si="8" ref="D46:N46">SUM(D11:D45)</f>
        <v>1750</v>
      </c>
      <c r="E46" s="273">
        <f t="shared" si="8"/>
        <v>8556.0225</v>
      </c>
      <c r="F46" s="273">
        <f t="shared" si="8"/>
        <v>8556.0225</v>
      </c>
      <c r="G46" s="273">
        <f t="shared" si="8"/>
        <v>0</v>
      </c>
      <c r="H46" s="273">
        <f t="shared" si="8"/>
        <v>0</v>
      </c>
      <c r="I46" s="273">
        <f t="shared" si="8"/>
        <v>1711.2044999999998</v>
      </c>
      <c r="J46" s="273">
        <f t="shared" si="8"/>
        <v>342.2409</v>
      </c>
      <c r="K46" s="273">
        <f t="shared" si="8"/>
        <v>342.2409</v>
      </c>
      <c r="L46" s="273">
        <f t="shared" si="8"/>
        <v>342.2409</v>
      </c>
      <c r="M46" s="273">
        <f t="shared" si="8"/>
        <v>342.2409</v>
      </c>
      <c r="N46" s="273">
        <f t="shared" si="8"/>
        <v>342.2409</v>
      </c>
    </row>
    <row r="47" spans="1:14" ht="12.75">
      <c r="A47" s="274"/>
      <c r="B47" s="274"/>
      <c r="C47" s="274"/>
      <c r="D47" s="274"/>
      <c r="E47" s="271"/>
      <c r="F47" s="271"/>
      <c r="G47" s="271"/>
      <c r="H47" s="271"/>
      <c r="I47" s="271"/>
      <c r="J47" s="271"/>
      <c r="K47" s="271"/>
      <c r="L47" s="271"/>
      <c r="M47" s="271"/>
      <c r="N47" s="271"/>
    </row>
    <row r="48" spans="1:14" ht="12.75">
      <c r="A48" s="275"/>
      <c r="B48" s="276"/>
      <c r="C48" s="276"/>
      <c r="D48" s="274"/>
      <c r="E48" s="271"/>
      <c r="F48" s="271"/>
      <c r="G48" s="271"/>
      <c r="H48" s="271"/>
      <c r="I48" s="271"/>
      <c r="J48" s="271"/>
      <c r="K48" s="271"/>
      <c r="L48" s="271"/>
      <c r="M48" s="271"/>
      <c r="N48" s="271"/>
    </row>
    <row r="49" spans="1:14" ht="12.75">
      <c r="A49" s="277"/>
      <c r="B49" s="277"/>
      <c r="C49" s="277"/>
      <c r="E49" s="271"/>
      <c r="F49" s="271"/>
      <c r="G49" s="271"/>
      <c r="H49" s="271"/>
      <c r="I49" s="271"/>
      <c r="J49" s="271"/>
      <c r="K49" s="271"/>
      <c r="L49" s="271"/>
      <c r="M49" s="271"/>
      <c r="N49" s="271"/>
    </row>
    <row r="50" spans="1:14" ht="12.75" customHeight="1">
      <c r="A50" s="277"/>
      <c r="B50" s="277"/>
      <c r="C50" s="748" t="s">
        <v>1021</v>
      </c>
      <c r="D50" s="748"/>
      <c r="E50" s="748"/>
      <c r="F50" s="748"/>
      <c r="G50" s="607"/>
      <c r="H50" s="607"/>
      <c r="I50" s="271"/>
      <c r="J50" s="271"/>
      <c r="K50" s="748" t="s">
        <v>1024</v>
      </c>
      <c r="L50" s="748"/>
      <c r="M50" s="748"/>
      <c r="N50" s="748"/>
    </row>
    <row r="51" spans="1:14" ht="12.75" customHeight="1">
      <c r="A51" s="277"/>
      <c r="B51" s="277"/>
      <c r="C51" s="748" t="s">
        <v>1022</v>
      </c>
      <c r="D51" s="748"/>
      <c r="E51" s="748"/>
      <c r="F51" s="748"/>
      <c r="G51" s="607"/>
      <c r="H51" s="607"/>
      <c r="I51" s="271"/>
      <c r="J51" s="271"/>
      <c r="K51" s="748" t="s">
        <v>1025</v>
      </c>
      <c r="L51" s="748"/>
      <c r="M51" s="748"/>
      <c r="N51" s="748"/>
    </row>
    <row r="52" spans="1:14" ht="12.75">
      <c r="A52" s="277"/>
      <c r="B52" s="277"/>
      <c r="C52" s="735" t="s">
        <v>1023</v>
      </c>
      <c r="D52" s="735"/>
      <c r="E52" s="735"/>
      <c r="F52" s="735"/>
      <c r="G52" s="607"/>
      <c r="H52" s="607"/>
      <c r="I52" s="271"/>
      <c r="J52" s="271"/>
      <c r="K52" s="735" t="s">
        <v>1023</v>
      </c>
      <c r="L52" s="735"/>
      <c r="M52" s="735"/>
      <c r="N52" s="735"/>
    </row>
    <row r="53" spans="1:14" ht="12.75">
      <c r="A53" s="277" t="s">
        <v>12</v>
      </c>
      <c r="C53"/>
      <c r="D53"/>
      <c r="E53"/>
      <c r="F53"/>
      <c r="G53" s="607"/>
      <c r="H53" s="607"/>
      <c r="I53" s="277"/>
      <c r="J53" s="277"/>
      <c r="K53"/>
      <c r="L53"/>
      <c r="M53" s="277"/>
      <c r="N53" s="277"/>
    </row>
    <row r="54" spans="5:14" ht="12.75" customHeight="1">
      <c r="E54" s="277"/>
      <c r="F54" s="601"/>
      <c r="G54" s="601"/>
      <c r="H54" s="601"/>
      <c r="I54" s="601"/>
      <c r="J54" s="601"/>
      <c r="K54" s="601"/>
      <c r="L54" s="601"/>
      <c r="M54" s="601"/>
      <c r="N54" s="601"/>
    </row>
    <row r="55" spans="5:14" ht="12.75" customHeight="1">
      <c r="E55" s="601"/>
      <c r="F55" s="601"/>
      <c r="G55" s="601"/>
      <c r="H55" s="601"/>
      <c r="I55" s="601"/>
      <c r="J55" s="601"/>
      <c r="K55" s="601"/>
      <c r="L55" s="601"/>
      <c r="M55" s="601"/>
      <c r="N55" s="601"/>
    </row>
    <row r="56" spans="1:14" ht="12.75">
      <c r="A56" s="277"/>
      <c r="B56" s="277"/>
      <c r="E56" s="271"/>
      <c r="F56" s="277"/>
      <c r="G56" s="277"/>
      <c r="H56" s="277"/>
      <c r="I56" s="277"/>
      <c r="J56" s="277"/>
      <c r="K56" s="277"/>
      <c r="L56" s="277"/>
      <c r="M56" s="277"/>
      <c r="N56" s="277"/>
    </row>
    <row r="58" spans="1:14" ht="12.75">
      <c r="A58" s="1021"/>
      <c r="B58" s="1021"/>
      <c r="C58" s="1021"/>
      <c r="D58" s="1021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</row>
  </sheetData>
  <sheetProtection/>
  <mergeCells count="20">
    <mergeCell ref="A58:N58"/>
    <mergeCell ref="H7:N7"/>
    <mergeCell ref="A8:A9"/>
    <mergeCell ref="B8:B9"/>
    <mergeCell ref="C8:C9"/>
    <mergeCell ref="D8:D9"/>
    <mergeCell ref="E8:H8"/>
    <mergeCell ref="I8:N8"/>
    <mergeCell ref="K50:N50"/>
    <mergeCell ref="K51:N51"/>
    <mergeCell ref="K52:N52"/>
    <mergeCell ref="C50:F50"/>
    <mergeCell ref="C51:F51"/>
    <mergeCell ref="C52:F52"/>
    <mergeCell ref="A6:N6"/>
    <mergeCell ref="D1:E1"/>
    <mergeCell ref="M1:N1"/>
    <mergeCell ref="A2:N2"/>
    <mergeCell ref="A3:N3"/>
    <mergeCell ref="A4:N5"/>
  </mergeCells>
  <printOptions horizontalCentered="1"/>
  <pageMargins left="0.7086614173228347" right="0.7086614173228347" top="0.2362204724409449" bottom="0" header="0.27" footer="0.25"/>
  <pageSetup fitToHeight="1" fitToWidth="1" horizontalDpi="600" verticalDpi="600" orientation="landscape" paperSize="9" scale="76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1"/>
  <sheetViews>
    <sheetView view="pageBreakPreview" zoomScale="115" zoomScaleNormal="90" zoomScaleSheetLayoutView="115" zoomScalePageLayoutView="0" workbookViewId="0" topLeftCell="A1">
      <pane xSplit="2" ySplit="9" topLeftCell="G4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45" sqref="K45"/>
    </sheetView>
  </sheetViews>
  <sheetFormatPr defaultColWidth="9.140625" defaultRowHeight="12.75"/>
  <cols>
    <col min="1" max="1" width="9.140625" style="75" customWidth="1"/>
    <col min="2" max="2" width="13.57421875" style="75" customWidth="1"/>
    <col min="3" max="4" width="8.57421875" style="75" customWidth="1"/>
    <col min="5" max="5" width="8.7109375" style="75" customWidth="1"/>
    <col min="6" max="6" width="8.57421875" style="75" customWidth="1"/>
    <col min="7" max="7" width="9.7109375" style="75" customWidth="1"/>
    <col min="8" max="8" width="10.28125" style="75" customWidth="1"/>
    <col min="9" max="9" width="9.7109375" style="75" customWidth="1"/>
    <col min="10" max="10" width="9.28125" style="75" customWidth="1"/>
    <col min="11" max="11" width="7.00390625" style="75" customWidth="1"/>
    <col min="12" max="12" width="7.28125" style="75" customWidth="1"/>
    <col min="13" max="13" width="7.421875" style="75" customWidth="1"/>
    <col min="14" max="14" width="7.8515625" style="75" customWidth="1"/>
    <col min="15" max="15" width="11.421875" style="523" customWidth="1"/>
    <col min="16" max="16" width="12.28125" style="523" customWidth="1"/>
    <col min="17" max="17" width="11.57421875" style="523" customWidth="1"/>
    <col min="18" max="18" width="16.00390625" style="75" customWidth="1"/>
    <col min="19" max="19" width="26.57421875" style="75" bestFit="1" customWidth="1"/>
    <col min="20" max="20" width="9.140625" style="75" hidden="1" customWidth="1"/>
    <col min="21" max="21" width="12.140625" style="75" customWidth="1"/>
    <col min="22" max="35" width="9.140625" style="75" customWidth="1"/>
    <col min="36" max="36" width="12.28125" style="75" customWidth="1"/>
    <col min="37" max="16384" width="9.140625" style="75" customWidth="1"/>
  </cols>
  <sheetData>
    <row r="1" spans="7:19" s="16" customFormat="1" ht="15.75">
      <c r="G1" s="732" t="s">
        <v>0</v>
      </c>
      <c r="H1" s="732"/>
      <c r="I1" s="732"/>
      <c r="J1" s="732"/>
      <c r="K1" s="732"/>
      <c r="L1" s="732"/>
      <c r="M1" s="732"/>
      <c r="N1" s="40"/>
      <c r="O1" s="40"/>
      <c r="P1" s="125"/>
      <c r="Q1" s="125"/>
      <c r="R1" s="43" t="s">
        <v>556</v>
      </c>
      <c r="S1" s="43"/>
    </row>
    <row r="2" spans="2:17" s="16" customFormat="1" ht="20.25">
      <c r="B2" s="125"/>
      <c r="E2" s="733" t="s">
        <v>656</v>
      </c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125"/>
      <c r="Q2" s="125"/>
    </row>
    <row r="3" spans="2:21" ht="19.5" customHeight="1">
      <c r="B3" s="511" t="s">
        <v>741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393"/>
      <c r="P3" s="393"/>
      <c r="Q3" s="393"/>
      <c r="R3" s="511"/>
      <c r="S3" s="511"/>
      <c r="T3" s="511"/>
      <c r="U3" s="393"/>
    </row>
    <row r="4" spans="3:21" ht="15">
      <c r="C4" s="76"/>
      <c r="D4" s="76"/>
      <c r="E4" s="76"/>
      <c r="F4" s="76"/>
      <c r="G4" s="76"/>
      <c r="H4" s="76"/>
      <c r="M4" s="76"/>
      <c r="N4" s="76"/>
      <c r="R4" s="76"/>
      <c r="S4" s="76"/>
      <c r="T4" s="76"/>
      <c r="U4" s="76"/>
    </row>
    <row r="5" spans="1:3" ht="14.25" customHeight="1">
      <c r="A5" s="208" t="s">
        <v>1020</v>
      </c>
      <c r="B5" s="208"/>
      <c r="C5" s="209"/>
    </row>
    <row r="6" ht="15" hidden="1">
      <c r="B6" s="78"/>
    </row>
    <row r="7" spans="1:18" s="79" customFormat="1" ht="42" customHeight="1">
      <c r="A7" s="709" t="s">
        <v>2</v>
      </c>
      <c r="B7" s="1044" t="s">
        <v>3</v>
      </c>
      <c r="C7" s="1049" t="s">
        <v>251</v>
      </c>
      <c r="D7" s="1049"/>
      <c r="E7" s="1049"/>
      <c r="F7" s="1049"/>
      <c r="G7" s="1046" t="s">
        <v>764</v>
      </c>
      <c r="H7" s="1047"/>
      <c r="I7" s="1047"/>
      <c r="J7" s="1050"/>
      <c r="K7" s="1046" t="s">
        <v>212</v>
      </c>
      <c r="L7" s="1047"/>
      <c r="M7" s="1047"/>
      <c r="N7" s="1050"/>
      <c r="O7" s="1046" t="s">
        <v>107</v>
      </c>
      <c r="P7" s="1047"/>
      <c r="Q7" s="1047"/>
      <c r="R7" s="1048"/>
    </row>
    <row r="8" spans="1:19" s="80" customFormat="1" ht="35.25" customHeight="1">
      <c r="A8" s="709"/>
      <c r="B8" s="1045"/>
      <c r="C8" s="85" t="s">
        <v>93</v>
      </c>
      <c r="D8" s="85" t="s">
        <v>97</v>
      </c>
      <c r="E8" s="85" t="s">
        <v>98</v>
      </c>
      <c r="F8" s="85" t="s">
        <v>19</v>
      </c>
      <c r="G8" s="85" t="s">
        <v>93</v>
      </c>
      <c r="H8" s="85" t="s">
        <v>97</v>
      </c>
      <c r="I8" s="85" t="s">
        <v>98</v>
      </c>
      <c r="J8" s="85" t="s">
        <v>19</v>
      </c>
      <c r="K8" s="85" t="s">
        <v>93</v>
      </c>
      <c r="L8" s="85" t="s">
        <v>97</v>
      </c>
      <c r="M8" s="85" t="s">
        <v>98</v>
      </c>
      <c r="N8" s="85" t="s">
        <v>19</v>
      </c>
      <c r="O8" s="85" t="s">
        <v>143</v>
      </c>
      <c r="P8" s="85" t="s">
        <v>144</v>
      </c>
      <c r="Q8" s="157" t="s">
        <v>145</v>
      </c>
      <c r="R8" s="85" t="s">
        <v>146</v>
      </c>
      <c r="S8" s="117"/>
    </row>
    <row r="9" spans="1:18" s="159" customFormat="1" ht="15.75" customHeight="1">
      <c r="A9" s="515">
        <v>1</v>
      </c>
      <c r="B9" s="516">
        <v>2</v>
      </c>
      <c r="C9" s="517">
        <v>3</v>
      </c>
      <c r="D9" s="517">
        <v>4</v>
      </c>
      <c r="E9" s="517">
        <v>5</v>
      </c>
      <c r="F9" s="517">
        <v>6</v>
      </c>
      <c r="G9" s="517">
        <v>7</v>
      </c>
      <c r="H9" s="517">
        <v>8</v>
      </c>
      <c r="I9" s="517">
        <v>9</v>
      </c>
      <c r="J9" s="517">
        <v>10</v>
      </c>
      <c r="K9" s="517">
        <v>11</v>
      </c>
      <c r="L9" s="517">
        <v>12</v>
      </c>
      <c r="M9" s="517">
        <v>13</v>
      </c>
      <c r="N9" s="517">
        <v>14</v>
      </c>
      <c r="O9" s="517">
        <v>15</v>
      </c>
      <c r="P9" s="517">
        <v>16</v>
      </c>
      <c r="Q9" s="517">
        <v>17</v>
      </c>
      <c r="R9" s="516">
        <v>18</v>
      </c>
    </row>
    <row r="10" spans="1:37" s="159" customFormat="1" ht="15.75" customHeight="1">
      <c r="A10" s="515">
        <v>1</v>
      </c>
      <c r="B10" s="360" t="s">
        <v>870</v>
      </c>
      <c r="C10" s="556">
        <v>0</v>
      </c>
      <c r="D10" s="556">
        <f>F10-E10-C10</f>
        <v>856</v>
      </c>
      <c r="E10" s="556">
        <v>3674</v>
      </c>
      <c r="F10" s="556">
        <v>4530</v>
      </c>
      <c r="G10" s="564">
        <v>0</v>
      </c>
      <c r="H10" s="556">
        <f>J10-I10</f>
        <v>794</v>
      </c>
      <c r="I10" s="556">
        <v>3602</v>
      </c>
      <c r="J10" s="556">
        <v>4396</v>
      </c>
      <c r="K10" s="564">
        <v>0</v>
      </c>
      <c r="L10" s="564">
        <v>0</v>
      </c>
      <c r="M10" s="564">
        <v>0</v>
      </c>
      <c r="N10" s="564">
        <v>0</v>
      </c>
      <c r="O10" s="557">
        <f aca="true" t="shared" si="0" ref="O10:O44">C10-G10-K10</f>
        <v>0</v>
      </c>
      <c r="P10" s="557">
        <v>0</v>
      </c>
      <c r="Q10" s="557">
        <v>0</v>
      </c>
      <c r="R10" s="557">
        <f>O10+P10+Q10</f>
        <v>0</v>
      </c>
      <c r="U10" s="159">
        <f>V10-J10</f>
        <v>0</v>
      </c>
      <c r="V10" s="467">
        <v>4396</v>
      </c>
      <c r="W10" s="159">
        <f>X10+Y10+Z10+AA10+AB10+AC10+AD10+AE10+AF10</f>
        <v>881</v>
      </c>
      <c r="X10" s="9">
        <v>78</v>
      </c>
      <c r="Y10" s="9">
        <v>0</v>
      </c>
      <c r="Z10" s="70">
        <v>0</v>
      </c>
      <c r="AA10" s="9">
        <v>612</v>
      </c>
      <c r="AB10" s="9">
        <v>0</v>
      </c>
      <c r="AC10" s="9">
        <v>0</v>
      </c>
      <c r="AD10" s="9">
        <v>191</v>
      </c>
      <c r="AE10" s="9">
        <v>0</v>
      </c>
      <c r="AF10" s="9">
        <v>0</v>
      </c>
      <c r="AH10" s="159">
        <v>3076</v>
      </c>
      <c r="AI10" s="159">
        <v>595</v>
      </c>
      <c r="AJ10" s="159">
        <v>3</v>
      </c>
      <c r="AK10" s="159">
        <f>AJ10+AI10+AH10</f>
        <v>3674</v>
      </c>
    </row>
    <row r="11" spans="1:37" s="159" customFormat="1" ht="15.75" customHeight="1">
      <c r="A11" s="515">
        <v>2</v>
      </c>
      <c r="B11" s="360" t="s">
        <v>871</v>
      </c>
      <c r="C11" s="556">
        <v>1</v>
      </c>
      <c r="D11" s="556">
        <f aca="true" t="shared" si="1" ref="D11:D44">F11-E11-C11</f>
        <v>410</v>
      </c>
      <c r="E11" s="556">
        <v>1013</v>
      </c>
      <c r="F11" s="556">
        <v>1424</v>
      </c>
      <c r="G11" s="564">
        <v>0</v>
      </c>
      <c r="H11" s="556">
        <f aca="true" t="shared" si="2" ref="H11:H44">J11-I11</f>
        <v>354</v>
      </c>
      <c r="I11" s="556">
        <v>977</v>
      </c>
      <c r="J11" s="556">
        <v>1331</v>
      </c>
      <c r="K11" s="564">
        <v>0</v>
      </c>
      <c r="L11" s="564">
        <v>0</v>
      </c>
      <c r="M11" s="564">
        <v>0</v>
      </c>
      <c r="N11" s="564">
        <v>0</v>
      </c>
      <c r="O11" s="557">
        <v>0</v>
      </c>
      <c r="P11" s="557">
        <v>0</v>
      </c>
      <c r="Q11" s="557">
        <v>0</v>
      </c>
      <c r="R11" s="557">
        <f aca="true" t="shared" si="3" ref="R11:R44">O11+P11+Q11</f>
        <v>0</v>
      </c>
      <c r="U11" s="159">
        <f aca="true" t="shared" si="4" ref="U11:U44">V11-J11</f>
        <v>0</v>
      </c>
      <c r="V11" s="467">
        <v>1331</v>
      </c>
      <c r="W11" s="159">
        <f aca="true" t="shared" si="5" ref="W11:W44">X11+Y11+Z11+AA11+AB11+AC11+AD11+AE11+AF11</f>
        <v>414</v>
      </c>
      <c r="X11" s="9">
        <v>35</v>
      </c>
      <c r="Y11" s="9">
        <v>0</v>
      </c>
      <c r="Z11" s="70">
        <v>0</v>
      </c>
      <c r="AA11" s="9">
        <v>269</v>
      </c>
      <c r="AB11" s="9">
        <v>0</v>
      </c>
      <c r="AC11" s="9">
        <v>0</v>
      </c>
      <c r="AD11" s="9">
        <v>110</v>
      </c>
      <c r="AE11" s="9">
        <v>0</v>
      </c>
      <c r="AF11" s="9">
        <v>0</v>
      </c>
      <c r="AH11" s="159">
        <v>602</v>
      </c>
      <c r="AI11" s="159">
        <v>411</v>
      </c>
      <c r="AJ11" s="159">
        <v>0</v>
      </c>
      <c r="AK11" s="159">
        <f aca="true" t="shared" si="6" ref="AK11:AK44">AJ11+AI11+AH11</f>
        <v>1013</v>
      </c>
    </row>
    <row r="12" spans="1:37" s="159" customFormat="1" ht="15.75" customHeight="1">
      <c r="A12" s="515">
        <v>3</v>
      </c>
      <c r="B12" s="360" t="s">
        <v>872</v>
      </c>
      <c r="C12" s="556">
        <v>2</v>
      </c>
      <c r="D12" s="556">
        <f t="shared" si="1"/>
        <v>635</v>
      </c>
      <c r="E12" s="556">
        <v>1762</v>
      </c>
      <c r="F12" s="556">
        <v>2399</v>
      </c>
      <c r="G12" s="564">
        <v>0</v>
      </c>
      <c r="H12" s="556">
        <f t="shared" si="2"/>
        <v>229</v>
      </c>
      <c r="I12" s="556">
        <v>1961</v>
      </c>
      <c r="J12" s="556">
        <v>2190</v>
      </c>
      <c r="K12" s="564">
        <v>0</v>
      </c>
      <c r="L12" s="564">
        <v>0</v>
      </c>
      <c r="M12" s="564">
        <v>0</v>
      </c>
      <c r="N12" s="564">
        <v>0</v>
      </c>
      <c r="O12" s="557">
        <v>0</v>
      </c>
      <c r="P12" s="557">
        <v>0</v>
      </c>
      <c r="Q12" s="557">
        <v>0</v>
      </c>
      <c r="R12" s="557">
        <f t="shared" si="3"/>
        <v>0</v>
      </c>
      <c r="S12" s="159" t="s">
        <v>954</v>
      </c>
      <c r="U12" s="159">
        <f t="shared" si="4"/>
        <v>0</v>
      </c>
      <c r="V12" s="467">
        <v>2190</v>
      </c>
      <c r="W12" s="159">
        <f t="shared" si="5"/>
        <v>644</v>
      </c>
      <c r="X12" s="9">
        <v>81</v>
      </c>
      <c r="Y12" s="9">
        <v>0</v>
      </c>
      <c r="Z12" s="70">
        <v>0</v>
      </c>
      <c r="AA12" s="9">
        <v>394</v>
      </c>
      <c r="AB12" s="9">
        <v>0</v>
      </c>
      <c r="AC12" s="9">
        <v>0</v>
      </c>
      <c r="AD12" s="9">
        <v>169</v>
      </c>
      <c r="AE12" s="9">
        <v>0</v>
      </c>
      <c r="AF12" s="9">
        <v>0</v>
      </c>
      <c r="AH12" s="159">
        <v>970</v>
      </c>
      <c r="AI12" s="159">
        <v>784</v>
      </c>
      <c r="AJ12" s="159">
        <v>8</v>
      </c>
      <c r="AK12" s="159">
        <f t="shared" si="6"/>
        <v>1762</v>
      </c>
    </row>
    <row r="13" spans="1:37" s="159" customFormat="1" ht="15.75" customHeight="1">
      <c r="A13" s="515">
        <v>4</v>
      </c>
      <c r="B13" s="360" t="s">
        <v>873</v>
      </c>
      <c r="C13" s="556">
        <v>0</v>
      </c>
      <c r="D13" s="556">
        <f t="shared" si="1"/>
        <v>723</v>
      </c>
      <c r="E13" s="556">
        <v>2204</v>
      </c>
      <c r="F13" s="556">
        <v>2927</v>
      </c>
      <c r="G13" s="564">
        <v>0</v>
      </c>
      <c r="H13" s="556">
        <f t="shared" si="2"/>
        <v>311</v>
      </c>
      <c r="I13" s="556">
        <v>1904</v>
      </c>
      <c r="J13" s="556">
        <v>2215</v>
      </c>
      <c r="K13" s="564">
        <v>0</v>
      </c>
      <c r="L13" s="564">
        <v>0</v>
      </c>
      <c r="M13" s="564">
        <v>0</v>
      </c>
      <c r="N13" s="564">
        <v>0</v>
      </c>
      <c r="O13" s="557">
        <f t="shared" si="0"/>
        <v>0</v>
      </c>
      <c r="P13" s="557">
        <v>0</v>
      </c>
      <c r="Q13" s="557">
        <v>0</v>
      </c>
      <c r="R13" s="557">
        <f t="shared" si="3"/>
        <v>0</v>
      </c>
      <c r="S13" s="365" t="s">
        <v>970</v>
      </c>
      <c r="U13" s="159">
        <f t="shared" si="4"/>
        <v>0</v>
      </c>
      <c r="V13" s="467">
        <v>2215</v>
      </c>
      <c r="W13" s="159">
        <f t="shared" si="5"/>
        <v>828</v>
      </c>
      <c r="X13" s="9">
        <v>108</v>
      </c>
      <c r="Y13" s="9">
        <v>0</v>
      </c>
      <c r="Z13" s="70">
        <v>0</v>
      </c>
      <c r="AA13" s="9">
        <v>487</v>
      </c>
      <c r="AB13" s="9">
        <v>0</v>
      </c>
      <c r="AC13" s="9">
        <v>0</v>
      </c>
      <c r="AD13" s="9">
        <v>233</v>
      </c>
      <c r="AE13" s="9">
        <v>0</v>
      </c>
      <c r="AF13" s="9">
        <v>0</v>
      </c>
      <c r="AH13" s="159">
        <v>1370</v>
      </c>
      <c r="AI13" s="159">
        <v>834</v>
      </c>
      <c r="AJ13" s="159">
        <v>0</v>
      </c>
      <c r="AK13" s="159">
        <f t="shared" si="6"/>
        <v>2204</v>
      </c>
    </row>
    <row r="14" spans="1:37" s="159" customFormat="1" ht="15.75" customHeight="1">
      <c r="A14" s="515">
        <v>5</v>
      </c>
      <c r="B14" s="360" t="s">
        <v>874</v>
      </c>
      <c r="C14" s="556">
        <v>0</v>
      </c>
      <c r="D14" s="556">
        <f t="shared" si="1"/>
        <v>697</v>
      </c>
      <c r="E14" s="556">
        <v>2527</v>
      </c>
      <c r="F14" s="556">
        <v>3224</v>
      </c>
      <c r="G14" s="564">
        <v>0</v>
      </c>
      <c r="H14" s="556">
        <f t="shared" si="2"/>
        <v>0</v>
      </c>
      <c r="I14" s="556">
        <v>2442</v>
      </c>
      <c r="J14" s="556">
        <v>2442</v>
      </c>
      <c r="K14" s="564">
        <v>0</v>
      </c>
      <c r="L14" s="564">
        <v>0</v>
      </c>
      <c r="M14" s="564">
        <v>0</v>
      </c>
      <c r="N14" s="564">
        <v>0</v>
      </c>
      <c r="O14" s="557">
        <f t="shared" si="0"/>
        <v>0</v>
      </c>
      <c r="P14" s="557">
        <v>0</v>
      </c>
      <c r="Q14" s="557">
        <v>0</v>
      </c>
      <c r="R14" s="557">
        <f t="shared" si="3"/>
        <v>0</v>
      </c>
      <c r="U14" s="159">
        <f t="shared" si="4"/>
        <v>0</v>
      </c>
      <c r="V14" s="467">
        <v>2442</v>
      </c>
      <c r="W14" s="159">
        <f t="shared" si="5"/>
        <v>697</v>
      </c>
      <c r="X14" s="9">
        <v>83</v>
      </c>
      <c r="Y14" s="9">
        <v>23</v>
      </c>
      <c r="Z14" s="70">
        <v>0</v>
      </c>
      <c r="AA14" s="9">
        <v>453</v>
      </c>
      <c r="AB14" s="9">
        <v>0</v>
      </c>
      <c r="AC14" s="9">
        <v>0</v>
      </c>
      <c r="AD14" s="9">
        <v>138</v>
      </c>
      <c r="AE14" s="9">
        <v>0</v>
      </c>
      <c r="AF14" s="9">
        <v>0</v>
      </c>
      <c r="AH14" s="159">
        <v>1862</v>
      </c>
      <c r="AI14" s="159">
        <v>657</v>
      </c>
      <c r="AJ14" s="159">
        <v>8</v>
      </c>
      <c r="AK14" s="159">
        <f t="shared" si="6"/>
        <v>2527</v>
      </c>
    </row>
    <row r="15" spans="1:37" s="159" customFormat="1" ht="15.75" customHeight="1">
      <c r="A15" s="515">
        <v>6</v>
      </c>
      <c r="B15" s="360" t="s">
        <v>875</v>
      </c>
      <c r="C15" s="556"/>
      <c r="D15" s="556">
        <f t="shared" si="1"/>
        <v>305</v>
      </c>
      <c r="E15" s="556">
        <v>824</v>
      </c>
      <c r="F15" s="556">
        <v>1129</v>
      </c>
      <c r="G15" s="564">
        <v>0</v>
      </c>
      <c r="H15" s="556">
        <f t="shared" si="2"/>
        <v>211</v>
      </c>
      <c r="I15" s="556">
        <v>927</v>
      </c>
      <c r="J15" s="556">
        <v>1138</v>
      </c>
      <c r="K15" s="564">
        <v>0</v>
      </c>
      <c r="L15" s="564">
        <v>0</v>
      </c>
      <c r="M15" s="564">
        <v>0</v>
      </c>
      <c r="N15" s="564">
        <v>0</v>
      </c>
      <c r="O15" s="557">
        <f t="shared" si="0"/>
        <v>0</v>
      </c>
      <c r="P15" s="557">
        <v>0</v>
      </c>
      <c r="Q15" s="557">
        <v>0</v>
      </c>
      <c r="R15" s="557">
        <f t="shared" si="3"/>
        <v>0</v>
      </c>
      <c r="U15" s="159">
        <f t="shared" si="4"/>
        <v>0</v>
      </c>
      <c r="V15" s="467">
        <v>1138</v>
      </c>
      <c r="W15" s="159">
        <f t="shared" si="5"/>
        <v>0</v>
      </c>
      <c r="X15" s="9"/>
      <c r="Y15" s="9"/>
      <c r="Z15" s="70"/>
      <c r="AA15" s="9"/>
      <c r="AB15" s="9"/>
      <c r="AC15" s="9"/>
      <c r="AD15" s="9"/>
      <c r="AE15" s="9"/>
      <c r="AF15" s="9"/>
      <c r="AH15" s="159">
        <v>523</v>
      </c>
      <c r="AI15" s="159">
        <v>299</v>
      </c>
      <c r="AJ15" s="159">
        <v>2</v>
      </c>
      <c r="AK15" s="159">
        <f t="shared" si="6"/>
        <v>824</v>
      </c>
    </row>
    <row r="16" spans="1:37" s="159" customFormat="1" ht="15.75" customHeight="1">
      <c r="A16" s="515">
        <v>7</v>
      </c>
      <c r="B16" s="360" t="s">
        <v>876</v>
      </c>
      <c r="C16" s="556">
        <v>0</v>
      </c>
      <c r="D16" s="556">
        <f t="shared" si="1"/>
        <v>444</v>
      </c>
      <c r="E16" s="556">
        <v>1556</v>
      </c>
      <c r="F16" s="556">
        <v>2000</v>
      </c>
      <c r="G16" s="564">
        <v>0</v>
      </c>
      <c r="H16" s="556">
        <f t="shared" si="2"/>
        <v>394</v>
      </c>
      <c r="I16" s="556">
        <v>1463</v>
      </c>
      <c r="J16" s="556">
        <v>1857</v>
      </c>
      <c r="K16" s="564">
        <v>0</v>
      </c>
      <c r="L16" s="564">
        <v>0</v>
      </c>
      <c r="M16" s="564">
        <v>0</v>
      </c>
      <c r="N16" s="564">
        <v>0</v>
      </c>
      <c r="O16" s="557">
        <f t="shared" si="0"/>
        <v>0</v>
      </c>
      <c r="P16" s="557">
        <v>0</v>
      </c>
      <c r="Q16" s="557">
        <v>0</v>
      </c>
      <c r="R16" s="557">
        <f t="shared" si="3"/>
        <v>0</v>
      </c>
      <c r="U16" s="159">
        <f t="shared" si="4"/>
        <v>0</v>
      </c>
      <c r="V16" s="467">
        <v>1857</v>
      </c>
      <c r="W16" s="159">
        <f t="shared" si="5"/>
        <v>456</v>
      </c>
      <c r="X16" s="9">
        <v>70</v>
      </c>
      <c r="Y16" s="9">
        <v>0</v>
      </c>
      <c r="Z16" s="70">
        <v>0</v>
      </c>
      <c r="AA16" s="9">
        <v>286</v>
      </c>
      <c r="AB16" s="9">
        <v>0</v>
      </c>
      <c r="AC16" s="9">
        <v>0</v>
      </c>
      <c r="AD16" s="9">
        <v>100</v>
      </c>
      <c r="AE16" s="9">
        <v>0</v>
      </c>
      <c r="AF16" s="9">
        <v>0</v>
      </c>
      <c r="AH16" s="159">
        <v>916</v>
      </c>
      <c r="AI16" s="159">
        <v>630</v>
      </c>
      <c r="AJ16" s="159">
        <v>10</v>
      </c>
      <c r="AK16" s="159">
        <f t="shared" si="6"/>
        <v>1556</v>
      </c>
    </row>
    <row r="17" spans="1:37" s="159" customFormat="1" ht="15.75" customHeight="1">
      <c r="A17" s="515">
        <v>8</v>
      </c>
      <c r="B17" s="360" t="s">
        <v>877</v>
      </c>
      <c r="C17" s="556">
        <v>11</v>
      </c>
      <c r="D17" s="556">
        <f t="shared" si="1"/>
        <v>354</v>
      </c>
      <c r="E17" s="556">
        <v>1669</v>
      </c>
      <c r="F17" s="556">
        <v>2034</v>
      </c>
      <c r="G17" s="564">
        <v>0</v>
      </c>
      <c r="H17" s="556">
        <f t="shared" si="2"/>
        <v>169</v>
      </c>
      <c r="I17" s="556">
        <v>1630</v>
      </c>
      <c r="J17" s="556">
        <v>1799</v>
      </c>
      <c r="K17" s="564">
        <v>0</v>
      </c>
      <c r="L17" s="564">
        <v>0</v>
      </c>
      <c r="M17" s="564">
        <v>0</v>
      </c>
      <c r="N17" s="564">
        <v>0</v>
      </c>
      <c r="O17" s="557">
        <v>0</v>
      </c>
      <c r="P17" s="557">
        <v>0</v>
      </c>
      <c r="Q17" s="557">
        <v>0</v>
      </c>
      <c r="R17" s="557">
        <f t="shared" si="3"/>
        <v>0</v>
      </c>
      <c r="U17" s="159">
        <f t="shared" si="4"/>
        <v>0</v>
      </c>
      <c r="V17" s="374">
        <v>1799</v>
      </c>
      <c r="W17" s="159">
        <f t="shared" si="5"/>
        <v>380</v>
      </c>
      <c r="X17" s="9">
        <v>46</v>
      </c>
      <c r="Y17" s="9">
        <v>0</v>
      </c>
      <c r="Z17" s="70">
        <v>0</v>
      </c>
      <c r="AA17" s="9">
        <v>217</v>
      </c>
      <c r="AB17" s="9">
        <v>0</v>
      </c>
      <c r="AC17" s="9">
        <v>0</v>
      </c>
      <c r="AD17" s="9">
        <v>117</v>
      </c>
      <c r="AE17" s="9">
        <v>0</v>
      </c>
      <c r="AF17" s="9">
        <v>0</v>
      </c>
      <c r="AH17" s="159">
        <v>1045</v>
      </c>
      <c r="AI17" s="159">
        <v>615</v>
      </c>
      <c r="AJ17" s="159">
        <v>9</v>
      </c>
      <c r="AK17" s="159">
        <f t="shared" si="6"/>
        <v>1669</v>
      </c>
    </row>
    <row r="18" spans="1:37" s="159" customFormat="1" ht="15.75" customHeight="1">
      <c r="A18" s="515">
        <v>9</v>
      </c>
      <c r="B18" s="360" t="s">
        <v>878</v>
      </c>
      <c r="C18" s="556">
        <v>0</v>
      </c>
      <c r="D18" s="556">
        <f t="shared" si="1"/>
        <v>450</v>
      </c>
      <c r="E18" s="556">
        <v>1215</v>
      </c>
      <c r="F18" s="556">
        <v>1665</v>
      </c>
      <c r="G18" s="564">
        <v>0</v>
      </c>
      <c r="H18" s="556">
        <f t="shared" si="2"/>
        <v>258</v>
      </c>
      <c r="I18" s="556">
        <v>1173</v>
      </c>
      <c r="J18" s="556">
        <v>1431</v>
      </c>
      <c r="K18" s="564">
        <v>0</v>
      </c>
      <c r="L18" s="564">
        <v>0</v>
      </c>
      <c r="M18" s="564">
        <v>0</v>
      </c>
      <c r="N18" s="564">
        <v>0</v>
      </c>
      <c r="O18" s="557">
        <f t="shared" si="0"/>
        <v>0</v>
      </c>
      <c r="P18" s="557">
        <v>0</v>
      </c>
      <c r="Q18" s="557">
        <v>0</v>
      </c>
      <c r="R18" s="557">
        <f t="shared" si="3"/>
        <v>0</v>
      </c>
      <c r="U18" s="159">
        <f t="shared" si="4"/>
        <v>0</v>
      </c>
      <c r="V18" s="374">
        <v>1431</v>
      </c>
      <c r="W18" s="159">
        <f t="shared" si="5"/>
        <v>0</v>
      </c>
      <c r="X18" s="9"/>
      <c r="Y18" s="9"/>
      <c r="Z18" s="70"/>
      <c r="AA18" s="9"/>
      <c r="AB18" s="9">
        <v>0</v>
      </c>
      <c r="AC18" s="9">
        <v>0</v>
      </c>
      <c r="AD18" s="9"/>
      <c r="AE18" s="9"/>
      <c r="AF18" s="9"/>
      <c r="AH18" s="159">
        <v>1059</v>
      </c>
      <c r="AI18" s="159">
        <v>153</v>
      </c>
      <c r="AJ18" s="159">
        <v>3</v>
      </c>
      <c r="AK18" s="159">
        <f t="shared" si="6"/>
        <v>1215</v>
      </c>
    </row>
    <row r="19" spans="1:37" s="159" customFormat="1" ht="15.75" customHeight="1">
      <c r="A19" s="515">
        <v>10</v>
      </c>
      <c r="B19" s="360" t="s">
        <v>879</v>
      </c>
      <c r="C19" s="556">
        <v>0</v>
      </c>
      <c r="D19" s="556">
        <f t="shared" si="1"/>
        <v>232</v>
      </c>
      <c r="E19" s="556">
        <v>1554</v>
      </c>
      <c r="F19" s="556">
        <v>1786</v>
      </c>
      <c r="G19" s="564">
        <v>0</v>
      </c>
      <c r="H19" s="556">
        <f t="shared" si="2"/>
        <v>208</v>
      </c>
      <c r="I19" s="556">
        <v>1544</v>
      </c>
      <c r="J19" s="556">
        <v>1752</v>
      </c>
      <c r="K19" s="564">
        <v>0</v>
      </c>
      <c r="L19" s="564">
        <v>0</v>
      </c>
      <c r="M19" s="564">
        <v>0</v>
      </c>
      <c r="N19" s="564">
        <v>0</v>
      </c>
      <c r="O19" s="557">
        <f t="shared" si="0"/>
        <v>0</v>
      </c>
      <c r="P19" s="557">
        <v>0</v>
      </c>
      <c r="Q19" s="557">
        <v>0</v>
      </c>
      <c r="R19" s="557">
        <f t="shared" si="3"/>
        <v>0</v>
      </c>
      <c r="U19" s="159">
        <f t="shared" si="4"/>
        <v>0</v>
      </c>
      <c r="V19" s="374">
        <v>1752</v>
      </c>
      <c r="W19" s="159">
        <f t="shared" si="5"/>
        <v>0</v>
      </c>
      <c r="X19" s="9"/>
      <c r="Y19" s="9"/>
      <c r="Z19" s="70"/>
      <c r="AA19" s="9"/>
      <c r="AB19" s="9"/>
      <c r="AC19" s="9"/>
      <c r="AD19" s="9"/>
      <c r="AE19" s="9"/>
      <c r="AF19" s="9"/>
      <c r="AH19" s="159">
        <v>1121</v>
      </c>
      <c r="AI19" s="159">
        <v>420</v>
      </c>
      <c r="AJ19" s="75">
        <v>13</v>
      </c>
      <c r="AK19" s="159">
        <f t="shared" si="6"/>
        <v>1554</v>
      </c>
    </row>
    <row r="20" spans="1:37" s="159" customFormat="1" ht="15.75" customHeight="1">
      <c r="A20" s="515">
        <v>11</v>
      </c>
      <c r="B20" s="360" t="s">
        <v>880</v>
      </c>
      <c r="C20" s="556">
        <v>0</v>
      </c>
      <c r="D20" s="556">
        <f t="shared" si="1"/>
        <v>258</v>
      </c>
      <c r="E20" s="556">
        <v>1100</v>
      </c>
      <c r="F20" s="556">
        <v>1358</v>
      </c>
      <c r="G20" s="564">
        <v>0</v>
      </c>
      <c r="H20" s="556">
        <f t="shared" si="2"/>
        <v>267</v>
      </c>
      <c r="I20" s="556">
        <v>976</v>
      </c>
      <c r="J20" s="556">
        <v>1243</v>
      </c>
      <c r="K20" s="564">
        <v>0</v>
      </c>
      <c r="L20" s="564">
        <v>0</v>
      </c>
      <c r="M20" s="564">
        <v>233</v>
      </c>
      <c r="N20" s="564">
        <v>233</v>
      </c>
      <c r="O20" s="557">
        <f t="shared" si="0"/>
        <v>0</v>
      </c>
      <c r="P20" s="557">
        <v>0</v>
      </c>
      <c r="Q20" s="557">
        <v>0</v>
      </c>
      <c r="R20" s="557">
        <f t="shared" si="3"/>
        <v>0</v>
      </c>
      <c r="U20" s="159">
        <f t="shared" si="4"/>
        <v>0</v>
      </c>
      <c r="V20" s="374">
        <v>1243</v>
      </c>
      <c r="W20" s="159">
        <f t="shared" si="5"/>
        <v>275</v>
      </c>
      <c r="X20" s="9">
        <v>32</v>
      </c>
      <c r="Y20" s="9">
        <v>0</v>
      </c>
      <c r="Z20" s="70">
        <v>0</v>
      </c>
      <c r="AA20" s="9">
        <v>150</v>
      </c>
      <c r="AB20" s="9">
        <v>0</v>
      </c>
      <c r="AC20" s="9">
        <v>0</v>
      </c>
      <c r="AD20" s="9">
        <v>93</v>
      </c>
      <c r="AE20" s="9">
        <v>0</v>
      </c>
      <c r="AF20" s="9">
        <v>0</v>
      </c>
      <c r="AH20" s="159">
        <v>642</v>
      </c>
      <c r="AI20" s="159">
        <v>457</v>
      </c>
      <c r="AJ20" s="75">
        <v>1</v>
      </c>
      <c r="AK20" s="159">
        <f t="shared" si="6"/>
        <v>1100</v>
      </c>
    </row>
    <row r="21" spans="1:37" ht="16.5">
      <c r="A21" s="515">
        <v>12</v>
      </c>
      <c r="B21" s="360" t="s">
        <v>881</v>
      </c>
      <c r="C21" s="559">
        <v>0</v>
      </c>
      <c r="D21" s="556">
        <f t="shared" si="1"/>
        <v>160</v>
      </c>
      <c r="E21" s="559">
        <v>872</v>
      </c>
      <c r="F21" s="559">
        <v>1032</v>
      </c>
      <c r="G21" s="558">
        <v>0</v>
      </c>
      <c r="H21" s="556">
        <f t="shared" si="2"/>
        <v>454</v>
      </c>
      <c r="I21" s="558">
        <v>203</v>
      </c>
      <c r="J21" s="556">
        <v>657</v>
      </c>
      <c r="K21" s="564">
        <v>0</v>
      </c>
      <c r="L21" s="564">
        <v>0</v>
      </c>
      <c r="M21" s="564">
        <v>0</v>
      </c>
      <c r="N21" s="564">
        <v>0</v>
      </c>
      <c r="O21" s="557">
        <f t="shared" si="0"/>
        <v>0</v>
      </c>
      <c r="P21" s="557">
        <v>0</v>
      </c>
      <c r="Q21" s="557">
        <v>0</v>
      </c>
      <c r="R21" s="557">
        <f t="shared" si="3"/>
        <v>0</v>
      </c>
      <c r="U21" s="159">
        <f t="shared" si="4"/>
        <v>0</v>
      </c>
      <c r="V21" s="374">
        <v>657</v>
      </c>
      <c r="W21" s="159">
        <f t="shared" si="5"/>
        <v>160</v>
      </c>
      <c r="X21" s="9">
        <v>23</v>
      </c>
      <c r="Y21" s="9">
        <v>0</v>
      </c>
      <c r="Z21" s="70">
        <v>0</v>
      </c>
      <c r="AA21" s="9">
        <v>105</v>
      </c>
      <c r="AB21" s="9">
        <v>0</v>
      </c>
      <c r="AC21" s="9">
        <v>0</v>
      </c>
      <c r="AD21" s="9">
        <v>32</v>
      </c>
      <c r="AE21" s="9">
        <v>0</v>
      </c>
      <c r="AF21" s="9">
        <v>0</v>
      </c>
      <c r="AH21" s="75">
        <v>503</v>
      </c>
      <c r="AI21" s="75">
        <v>368</v>
      </c>
      <c r="AJ21" s="75">
        <v>1</v>
      </c>
      <c r="AK21" s="159">
        <f t="shared" si="6"/>
        <v>872</v>
      </c>
    </row>
    <row r="22" spans="1:37" ht="16.5">
      <c r="A22" s="515">
        <v>13</v>
      </c>
      <c r="B22" s="360" t="s">
        <v>882</v>
      </c>
      <c r="C22" s="559">
        <v>0</v>
      </c>
      <c r="D22" s="565">
        <f t="shared" si="1"/>
        <v>816</v>
      </c>
      <c r="E22" s="559">
        <v>1920</v>
      </c>
      <c r="F22" s="559">
        <v>2736</v>
      </c>
      <c r="G22" s="558">
        <v>0</v>
      </c>
      <c r="H22" s="556">
        <f t="shared" si="2"/>
        <v>46</v>
      </c>
      <c r="I22" s="558">
        <v>2164</v>
      </c>
      <c r="J22" s="556">
        <v>2210</v>
      </c>
      <c r="K22" s="564">
        <v>0</v>
      </c>
      <c r="L22" s="564">
        <v>66</v>
      </c>
      <c r="M22" s="564">
        <v>2</v>
      </c>
      <c r="N22" s="564">
        <v>68</v>
      </c>
      <c r="O22" s="557">
        <f t="shared" si="0"/>
        <v>0</v>
      </c>
      <c r="P22" s="557">
        <v>0</v>
      </c>
      <c r="Q22" s="557">
        <v>0</v>
      </c>
      <c r="R22" s="557">
        <f t="shared" si="3"/>
        <v>0</v>
      </c>
      <c r="U22" s="159">
        <f t="shared" si="4"/>
        <v>0</v>
      </c>
      <c r="V22" s="374">
        <v>2210</v>
      </c>
      <c r="W22" s="159">
        <f t="shared" si="5"/>
        <v>0</v>
      </c>
      <c r="X22" s="9"/>
      <c r="Y22" s="9"/>
      <c r="Z22" s="70"/>
      <c r="AA22" s="9"/>
      <c r="AB22" s="9"/>
      <c r="AC22" s="9"/>
      <c r="AD22" s="9"/>
      <c r="AE22" s="9"/>
      <c r="AF22" s="9"/>
      <c r="AH22" s="75">
        <v>1394</v>
      </c>
      <c r="AI22" s="75">
        <v>526</v>
      </c>
      <c r="AJ22" s="75">
        <v>0</v>
      </c>
      <c r="AK22" s="159">
        <f t="shared" si="6"/>
        <v>1920</v>
      </c>
    </row>
    <row r="23" spans="1:37" ht="16.5">
      <c r="A23" s="515">
        <v>14</v>
      </c>
      <c r="B23" s="360" t="s">
        <v>883</v>
      </c>
      <c r="C23" s="559">
        <v>0</v>
      </c>
      <c r="D23" s="556">
        <f t="shared" si="1"/>
        <v>342</v>
      </c>
      <c r="E23" s="559">
        <v>1564</v>
      </c>
      <c r="F23" s="559">
        <v>1906</v>
      </c>
      <c r="G23" s="558">
        <v>0</v>
      </c>
      <c r="H23" s="556">
        <f t="shared" si="2"/>
        <v>347</v>
      </c>
      <c r="I23" s="558">
        <v>851</v>
      </c>
      <c r="J23" s="556">
        <v>1198</v>
      </c>
      <c r="K23" s="564">
        <v>0</v>
      </c>
      <c r="L23" s="564">
        <v>0</v>
      </c>
      <c r="M23" s="564">
        <v>0</v>
      </c>
      <c r="N23" s="564">
        <v>0</v>
      </c>
      <c r="O23" s="557">
        <f t="shared" si="0"/>
        <v>0</v>
      </c>
      <c r="P23" s="557">
        <v>0</v>
      </c>
      <c r="Q23" s="557">
        <v>0</v>
      </c>
      <c r="R23" s="557">
        <f t="shared" si="3"/>
        <v>0</v>
      </c>
      <c r="U23" s="159">
        <f t="shared" si="4"/>
        <v>0</v>
      </c>
      <c r="V23" s="374">
        <v>1198</v>
      </c>
      <c r="W23" s="159">
        <f t="shared" si="5"/>
        <v>374</v>
      </c>
      <c r="X23" s="9">
        <v>55</v>
      </c>
      <c r="Y23" s="9">
        <v>0</v>
      </c>
      <c r="Z23" s="70">
        <v>0</v>
      </c>
      <c r="AA23" s="9">
        <v>243</v>
      </c>
      <c r="AB23" s="9">
        <v>0</v>
      </c>
      <c r="AC23" s="9">
        <v>0</v>
      </c>
      <c r="AD23" s="9">
        <v>76</v>
      </c>
      <c r="AE23" s="9">
        <v>0</v>
      </c>
      <c r="AF23" s="9">
        <v>0</v>
      </c>
      <c r="AH23" s="75">
        <v>981</v>
      </c>
      <c r="AI23" s="75">
        <v>583</v>
      </c>
      <c r="AJ23" s="75">
        <v>0</v>
      </c>
      <c r="AK23" s="159">
        <f t="shared" si="6"/>
        <v>1564</v>
      </c>
    </row>
    <row r="24" spans="1:37" ht="16.5">
      <c r="A24" s="515">
        <v>15</v>
      </c>
      <c r="B24" s="360" t="s">
        <v>884</v>
      </c>
      <c r="C24" s="559">
        <v>0</v>
      </c>
      <c r="D24" s="556">
        <f t="shared" si="1"/>
        <v>898</v>
      </c>
      <c r="E24" s="559">
        <v>2145</v>
      </c>
      <c r="F24" s="559">
        <v>3043</v>
      </c>
      <c r="G24" s="558">
        <v>0</v>
      </c>
      <c r="H24" s="556">
        <f t="shared" si="2"/>
        <v>379</v>
      </c>
      <c r="I24" s="558">
        <v>2244</v>
      </c>
      <c r="J24" s="556">
        <v>2623</v>
      </c>
      <c r="K24" s="564">
        <v>0</v>
      </c>
      <c r="L24" s="564">
        <v>0</v>
      </c>
      <c r="M24" s="564">
        <v>0</v>
      </c>
      <c r="N24" s="564">
        <v>0</v>
      </c>
      <c r="O24" s="557">
        <f t="shared" si="0"/>
        <v>0</v>
      </c>
      <c r="P24" s="557">
        <v>0</v>
      </c>
      <c r="Q24" s="557">
        <v>0</v>
      </c>
      <c r="R24" s="557">
        <f t="shared" si="3"/>
        <v>0</v>
      </c>
      <c r="U24" s="159">
        <f t="shared" si="4"/>
        <v>0</v>
      </c>
      <c r="V24" s="374">
        <v>2623</v>
      </c>
      <c r="W24" s="159">
        <f t="shared" si="5"/>
        <v>774</v>
      </c>
      <c r="X24" s="9">
        <v>120</v>
      </c>
      <c r="Y24" s="9">
        <v>0</v>
      </c>
      <c r="Z24" s="70">
        <v>0</v>
      </c>
      <c r="AA24" s="9">
        <v>328</v>
      </c>
      <c r="AB24" s="9">
        <v>0</v>
      </c>
      <c r="AC24" s="9">
        <v>0</v>
      </c>
      <c r="AD24" s="9">
        <v>326</v>
      </c>
      <c r="AE24" s="9">
        <v>0</v>
      </c>
      <c r="AF24" s="9">
        <v>0</v>
      </c>
      <c r="AH24" s="75">
        <v>1108</v>
      </c>
      <c r="AI24" s="75">
        <v>1035</v>
      </c>
      <c r="AJ24" s="75">
        <v>2</v>
      </c>
      <c r="AK24" s="159">
        <f t="shared" si="6"/>
        <v>2145</v>
      </c>
    </row>
    <row r="25" spans="1:37" ht="16.5">
      <c r="A25" s="515">
        <v>16</v>
      </c>
      <c r="B25" s="360" t="s">
        <v>885</v>
      </c>
      <c r="C25" s="559">
        <v>0</v>
      </c>
      <c r="D25" s="556">
        <f t="shared" si="1"/>
        <v>814</v>
      </c>
      <c r="E25" s="559">
        <v>1324</v>
      </c>
      <c r="F25" s="559">
        <v>2138</v>
      </c>
      <c r="G25" s="558">
        <v>0</v>
      </c>
      <c r="H25" s="556">
        <f t="shared" si="2"/>
        <v>456</v>
      </c>
      <c r="I25" s="558">
        <v>1162</v>
      </c>
      <c r="J25" s="556">
        <v>1618</v>
      </c>
      <c r="K25" s="564">
        <v>0</v>
      </c>
      <c r="L25" s="564">
        <v>227</v>
      </c>
      <c r="M25" s="564">
        <v>0</v>
      </c>
      <c r="N25" s="564">
        <v>227</v>
      </c>
      <c r="O25" s="557">
        <f t="shared" si="0"/>
        <v>0</v>
      </c>
      <c r="P25" s="557">
        <v>0</v>
      </c>
      <c r="Q25" s="557">
        <v>0</v>
      </c>
      <c r="R25" s="557">
        <f t="shared" si="3"/>
        <v>0</v>
      </c>
      <c r="U25" s="159">
        <f t="shared" si="4"/>
        <v>0</v>
      </c>
      <c r="V25" s="374">
        <v>1618</v>
      </c>
      <c r="W25" s="159">
        <f t="shared" si="5"/>
        <v>813</v>
      </c>
      <c r="X25" s="9">
        <v>133</v>
      </c>
      <c r="Y25" s="9">
        <v>0</v>
      </c>
      <c r="Z25" s="70">
        <v>0</v>
      </c>
      <c r="AA25" s="9">
        <v>489</v>
      </c>
      <c r="AB25" s="9">
        <v>0</v>
      </c>
      <c r="AC25" s="9">
        <v>0</v>
      </c>
      <c r="AD25" s="9">
        <v>191</v>
      </c>
      <c r="AE25" s="9">
        <v>0</v>
      </c>
      <c r="AF25" s="9">
        <v>0</v>
      </c>
      <c r="AH25" s="75">
        <v>724</v>
      </c>
      <c r="AI25" s="75">
        <v>596</v>
      </c>
      <c r="AJ25" s="75">
        <v>4</v>
      </c>
      <c r="AK25" s="159">
        <f t="shared" si="6"/>
        <v>1324</v>
      </c>
    </row>
    <row r="26" spans="1:37" ht="16.5">
      <c r="A26" s="515">
        <v>17</v>
      </c>
      <c r="B26" s="360" t="s">
        <v>886</v>
      </c>
      <c r="C26" s="559">
        <v>0</v>
      </c>
      <c r="D26" s="556">
        <f t="shared" si="1"/>
        <v>1286</v>
      </c>
      <c r="E26" s="559">
        <v>1198</v>
      </c>
      <c r="F26" s="559">
        <v>2484</v>
      </c>
      <c r="G26" s="558">
        <v>0</v>
      </c>
      <c r="H26" s="556">
        <f t="shared" si="2"/>
        <v>0</v>
      </c>
      <c r="I26" s="558">
        <v>0</v>
      </c>
      <c r="J26" s="556">
        <v>0</v>
      </c>
      <c r="K26" s="564">
        <v>0</v>
      </c>
      <c r="L26" s="564">
        <v>0</v>
      </c>
      <c r="M26" s="564">
        <v>0</v>
      </c>
      <c r="N26" s="564">
        <v>0</v>
      </c>
      <c r="O26" s="557">
        <f t="shared" si="0"/>
        <v>0</v>
      </c>
      <c r="P26" s="557">
        <v>0</v>
      </c>
      <c r="Q26" s="557">
        <v>0</v>
      </c>
      <c r="R26" s="557">
        <f t="shared" si="3"/>
        <v>0</v>
      </c>
      <c r="U26" s="159">
        <f t="shared" si="4"/>
        <v>0</v>
      </c>
      <c r="V26" s="374">
        <v>0</v>
      </c>
      <c r="W26" s="159">
        <f t="shared" si="5"/>
        <v>1202</v>
      </c>
      <c r="X26" s="9">
        <v>422</v>
      </c>
      <c r="Y26" s="9">
        <v>0</v>
      </c>
      <c r="Z26" s="70">
        <v>0</v>
      </c>
      <c r="AA26" s="9">
        <v>651</v>
      </c>
      <c r="AB26" s="9">
        <v>0</v>
      </c>
      <c r="AC26" s="9">
        <v>0</v>
      </c>
      <c r="AD26" s="9">
        <v>129</v>
      </c>
      <c r="AE26" s="9">
        <v>0</v>
      </c>
      <c r="AF26" s="9">
        <v>0</v>
      </c>
      <c r="AH26" s="75">
        <v>167</v>
      </c>
      <c r="AI26" s="75">
        <v>931</v>
      </c>
      <c r="AJ26" s="75">
        <v>100</v>
      </c>
      <c r="AK26" s="159">
        <f t="shared" si="6"/>
        <v>1198</v>
      </c>
    </row>
    <row r="27" spans="1:37" ht="16.5">
      <c r="A27" s="515">
        <v>18</v>
      </c>
      <c r="B27" s="360" t="s">
        <v>887</v>
      </c>
      <c r="C27" s="559">
        <v>0</v>
      </c>
      <c r="D27" s="556">
        <f t="shared" si="1"/>
        <v>1031</v>
      </c>
      <c r="E27" s="559">
        <v>1827</v>
      </c>
      <c r="F27" s="559">
        <v>2858</v>
      </c>
      <c r="G27" s="558">
        <v>0</v>
      </c>
      <c r="H27" s="556">
        <f t="shared" si="2"/>
        <v>135</v>
      </c>
      <c r="I27" s="558">
        <v>1667</v>
      </c>
      <c r="J27" s="556">
        <v>1802</v>
      </c>
      <c r="K27" s="564">
        <v>0</v>
      </c>
      <c r="L27" s="564">
        <v>0</v>
      </c>
      <c r="M27" s="564">
        <v>319</v>
      </c>
      <c r="N27" s="564">
        <v>319</v>
      </c>
      <c r="O27" s="557">
        <f t="shared" si="0"/>
        <v>0</v>
      </c>
      <c r="P27" s="557">
        <v>0</v>
      </c>
      <c r="Q27" s="557">
        <v>0</v>
      </c>
      <c r="R27" s="557">
        <f t="shared" si="3"/>
        <v>0</v>
      </c>
      <c r="U27" s="159">
        <f t="shared" si="4"/>
        <v>0</v>
      </c>
      <c r="V27" s="374">
        <v>1802</v>
      </c>
      <c r="W27" s="159">
        <f t="shared" si="5"/>
        <v>749</v>
      </c>
      <c r="X27" s="9">
        <v>254</v>
      </c>
      <c r="Y27" s="9">
        <v>0</v>
      </c>
      <c r="Z27" s="70">
        <v>0</v>
      </c>
      <c r="AA27" s="9">
        <v>370</v>
      </c>
      <c r="AB27" s="9">
        <v>0</v>
      </c>
      <c r="AC27" s="9">
        <v>7</v>
      </c>
      <c r="AD27" s="9">
        <v>118</v>
      </c>
      <c r="AE27" s="9">
        <v>0</v>
      </c>
      <c r="AF27" s="9">
        <v>0</v>
      </c>
      <c r="AH27" s="75">
        <v>1173</v>
      </c>
      <c r="AI27" s="75">
        <v>639</v>
      </c>
      <c r="AJ27" s="75">
        <v>15</v>
      </c>
      <c r="AK27" s="159">
        <f t="shared" si="6"/>
        <v>1827</v>
      </c>
    </row>
    <row r="28" spans="1:37" ht="16.5">
      <c r="A28" s="515">
        <v>19</v>
      </c>
      <c r="B28" s="360" t="s">
        <v>888</v>
      </c>
      <c r="C28" s="559">
        <v>0</v>
      </c>
      <c r="D28" s="556">
        <f t="shared" si="1"/>
        <v>739</v>
      </c>
      <c r="E28" s="559">
        <v>2257</v>
      </c>
      <c r="F28" s="559">
        <v>2996</v>
      </c>
      <c r="G28" s="558">
        <v>0</v>
      </c>
      <c r="H28" s="556">
        <f t="shared" si="2"/>
        <v>808</v>
      </c>
      <c r="I28" s="558">
        <v>2137</v>
      </c>
      <c r="J28" s="556">
        <v>2945</v>
      </c>
      <c r="K28" s="564">
        <v>0</v>
      </c>
      <c r="L28" s="564">
        <v>0</v>
      </c>
      <c r="M28" s="564">
        <v>0</v>
      </c>
      <c r="N28" s="564">
        <v>0</v>
      </c>
      <c r="O28" s="557">
        <f t="shared" si="0"/>
        <v>0</v>
      </c>
      <c r="P28" s="557">
        <v>0</v>
      </c>
      <c r="Q28" s="557">
        <v>0</v>
      </c>
      <c r="R28" s="557">
        <f t="shared" si="3"/>
        <v>0</v>
      </c>
      <c r="U28" s="159">
        <f t="shared" si="4"/>
        <v>0</v>
      </c>
      <c r="V28" s="374">
        <v>2945</v>
      </c>
      <c r="W28" s="159">
        <f t="shared" si="5"/>
        <v>0</v>
      </c>
      <c r="X28" s="9"/>
      <c r="Y28" s="9"/>
      <c r="Z28" s="70"/>
      <c r="AA28" s="9"/>
      <c r="AB28" s="9"/>
      <c r="AC28" s="9"/>
      <c r="AD28" s="9"/>
      <c r="AE28" s="9"/>
      <c r="AF28" s="9"/>
      <c r="AH28" s="75">
        <v>1455</v>
      </c>
      <c r="AI28" s="75">
        <v>784</v>
      </c>
      <c r="AJ28" s="75">
        <v>18</v>
      </c>
      <c r="AK28" s="159">
        <f t="shared" si="6"/>
        <v>2257</v>
      </c>
    </row>
    <row r="29" spans="1:37" ht="16.5">
      <c r="A29" s="515">
        <v>20</v>
      </c>
      <c r="B29" s="360" t="s">
        <v>889</v>
      </c>
      <c r="C29" s="559">
        <v>0</v>
      </c>
      <c r="D29" s="556">
        <f t="shared" si="1"/>
        <v>284</v>
      </c>
      <c r="E29" s="559">
        <v>1406</v>
      </c>
      <c r="F29" s="559">
        <v>1690</v>
      </c>
      <c r="G29" s="558">
        <v>0</v>
      </c>
      <c r="H29" s="556">
        <f t="shared" si="2"/>
        <v>242</v>
      </c>
      <c r="I29" s="558">
        <v>1471</v>
      </c>
      <c r="J29" s="556">
        <v>1713</v>
      </c>
      <c r="K29" s="564">
        <v>0</v>
      </c>
      <c r="L29" s="564">
        <v>0</v>
      </c>
      <c r="M29" s="564">
        <v>0</v>
      </c>
      <c r="N29" s="564">
        <v>0</v>
      </c>
      <c r="O29" s="557">
        <f t="shared" si="0"/>
        <v>0</v>
      </c>
      <c r="P29" s="557">
        <v>0</v>
      </c>
      <c r="Q29" s="557">
        <v>0</v>
      </c>
      <c r="R29" s="557">
        <f t="shared" si="3"/>
        <v>0</v>
      </c>
      <c r="U29" s="159">
        <f t="shared" si="4"/>
        <v>0</v>
      </c>
      <c r="V29" s="374">
        <v>1713</v>
      </c>
      <c r="W29" s="159">
        <f t="shared" si="5"/>
        <v>287</v>
      </c>
      <c r="X29" s="9">
        <v>52</v>
      </c>
      <c r="Y29" s="9">
        <v>0</v>
      </c>
      <c r="Z29" s="70">
        <v>0</v>
      </c>
      <c r="AA29" s="9">
        <v>220</v>
      </c>
      <c r="AB29" s="9">
        <v>0</v>
      </c>
      <c r="AC29" s="9">
        <v>0</v>
      </c>
      <c r="AD29" s="9">
        <v>15</v>
      </c>
      <c r="AE29" s="9">
        <v>0</v>
      </c>
      <c r="AF29" s="9">
        <v>0</v>
      </c>
      <c r="AH29" s="75">
        <v>1219</v>
      </c>
      <c r="AI29" s="75">
        <v>187</v>
      </c>
      <c r="AJ29" s="75">
        <v>0</v>
      </c>
      <c r="AK29" s="159">
        <f t="shared" si="6"/>
        <v>1406</v>
      </c>
    </row>
    <row r="30" spans="1:37" ht="16.5">
      <c r="A30" s="515">
        <v>21</v>
      </c>
      <c r="B30" s="360" t="s">
        <v>890</v>
      </c>
      <c r="C30" s="559">
        <v>0</v>
      </c>
      <c r="D30" s="556">
        <f t="shared" si="1"/>
        <v>807</v>
      </c>
      <c r="E30" s="559">
        <v>3618</v>
      </c>
      <c r="F30" s="559">
        <v>4425</v>
      </c>
      <c r="G30" s="558">
        <v>0</v>
      </c>
      <c r="H30" s="556">
        <f t="shared" si="2"/>
        <v>0</v>
      </c>
      <c r="I30" s="558">
        <v>3307</v>
      </c>
      <c r="J30" s="556">
        <v>3307</v>
      </c>
      <c r="K30" s="564">
        <v>0</v>
      </c>
      <c r="L30" s="564">
        <v>0</v>
      </c>
      <c r="M30" s="564">
        <v>0</v>
      </c>
      <c r="N30" s="564">
        <v>0</v>
      </c>
      <c r="O30" s="557">
        <f t="shared" si="0"/>
        <v>0</v>
      </c>
      <c r="P30" s="557">
        <v>0</v>
      </c>
      <c r="Q30" s="557">
        <v>0</v>
      </c>
      <c r="R30" s="557">
        <f t="shared" si="3"/>
        <v>0</v>
      </c>
      <c r="S30" s="75">
        <f>3718-3307</f>
        <v>411</v>
      </c>
      <c r="U30" s="159">
        <f t="shared" si="4"/>
        <v>0</v>
      </c>
      <c r="V30" s="374">
        <v>3307</v>
      </c>
      <c r="W30" s="159">
        <f t="shared" si="5"/>
        <v>847</v>
      </c>
      <c r="X30" s="9">
        <v>117</v>
      </c>
      <c r="Y30" s="9">
        <v>0</v>
      </c>
      <c r="Z30" s="70">
        <v>0</v>
      </c>
      <c r="AA30" s="9">
        <v>549</v>
      </c>
      <c r="AB30" s="9">
        <v>0</v>
      </c>
      <c r="AC30" s="9">
        <v>0</v>
      </c>
      <c r="AD30" s="9">
        <v>181</v>
      </c>
      <c r="AE30" s="9">
        <v>0</v>
      </c>
      <c r="AF30" s="9">
        <v>0</v>
      </c>
      <c r="AH30" s="75">
        <v>2695</v>
      </c>
      <c r="AI30" s="75">
        <v>914</v>
      </c>
      <c r="AJ30" s="75">
        <v>9</v>
      </c>
      <c r="AK30" s="159">
        <f t="shared" si="6"/>
        <v>3618</v>
      </c>
    </row>
    <row r="31" spans="1:37" ht="16.5">
      <c r="A31" s="515">
        <v>22</v>
      </c>
      <c r="B31" s="360" t="s">
        <v>891</v>
      </c>
      <c r="C31" s="559">
        <v>0</v>
      </c>
      <c r="D31" s="556">
        <f t="shared" si="1"/>
        <v>401</v>
      </c>
      <c r="E31" s="559">
        <v>1137</v>
      </c>
      <c r="F31" s="559">
        <v>1538</v>
      </c>
      <c r="G31" s="558">
        <v>0</v>
      </c>
      <c r="H31" s="556">
        <f t="shared" si="2"/>
        <v>547</v>
      </c>
      <c r="I31" s="558">
        <v>812</v>
      </c>
      <c r="J31" s="556">
        <v>1359</v>
      </c>
      <c r="K31" s="564">
        <v>0</v>
      </c>
      <c r="L31" s="564">
        <v>0</v>
      </c>
      <c r="M31" s="564">
        <v>0</v>
      </c>
      <c r="N31" s="564">
        <v>0</v>
      </c>
      <c r="O31" s="557">
        <f t="shared" si="0"/>
        <v>0</v>
      </c>
      <c r="P31" s="557">
        <v>0</v>
      </c>
      <c r="Q31" s="557">
        <v>0</v>
      </c>
      <c r="R31" s="557">
        <f t="shared" si="3"/>
        <v>0</v>
      </c>
      <c r="U31" s="159">
        <f t="shared" si="4"/>
        <v>0</v>
      </c>
      <c r="V31" s="374">
        <v>1359</v>
      </c>
      <c r="W31" s="159">
        <f t="shared" si="5"/>
        <v>403</v>
      </c>
      <c r="X31" s="9">
        <v>48</v>
      </c>
      <c r="Y31" s="9">
        <v>0</v>
      </c>
      <c r="Z31" s="70">
        <v>0</v>
      </c>
      <c r="AA31" s="9">
        <v>221</v>
      </c>
      <c r="AB31" s="9">
        <v>0</v>
      </c>
      <c r="AC31" s="9">
        <v>0</v>
      </c>
      <c r="AD31" s="9">
        <v>134</v>
      </c>
      <c r="AE31" s="9">
        <v>0</v>
      </c>
      <c r="AF31" s="9">
        <v>0</v>
      </c>
      <c r="AH31" s="75">
        <v>562</v>
      </c>
      <c r="AI31" s="75">
        <v>564</v>
      </c>
      <c r="AJ31" s="75">
        <v>11</v>
      </c>
      <c r="AK31" s="159">
        <f t="shared" si="6"/>
        <v>1137</v>
      </c>
    </row>
    <row r="32" spans="1:37" ht="16.5">
      <c r="A32" s="515">
        <v>23</v>
      </c>
      <c r="B32" s="360" t="s">
        <v>892</v>
      </c>
      <c r="C32" s="559">
        <v>0</v>
      </c>
      <c r="D32" s="556">
        <f t="shared" si="1"/>
        <v>387</v>
      </c>
      <c r="E32" s="559">
        <v>1183</v>
      </c>
      <c r="F32" s="559">
        <v>1570</v>
      </c>
      <c r="G32" s="558">
        <v>0</v>
      </c>
      <c r="H32" s="556">
        <f t="shared" si="2"/>
        <v>399</v>
      </c>
      <c r="I32" s="558">
        <v>1363</v>
      </c>
      <c r="J32" s="556">
        <v>1762</v>
      </c>
      <c r="K32" s="564">
        <v>0</v>
      </c>
      <c r="L32" s="564">
        <v>0</v>
      </c>
      <c r="M32" s="564">
        <v>0</v>
      </c>
      <c r="N32" s="564">
        <v>0</v>
      </c>
      <c r="O32" s="557">
        <f t="shared" si="0"/>
        <v>0</v>
      </c>
      <c r="P32" s="557">
        <v>0</v>
      </c>
      <c r="Q32" s="557">
        <v>0</v>
      </c>
      <c r="R32" s="557">
        <f t="shared" si="3"/>
        <v>0</v>
      </c>
      <c r="U32" s="159">
        <f t="shared" si="4"/>
        <v>0</v>
      </c>
      <c r="V32" s="374">
        <v>1762</v>
      </c>
      <c r="W32" s="159">
        <f t="shared" si="5"/>
        <v>400</v>
      </c>
      <c r="X32" s="9">
        <v>65</v>
      </c>
      <c r="Y32" s="9">
        <v>5</v>
      </c>
      <c r="Z32" s="70">
        <v>0</v>
      </c>
      <c r="AA32" s="9">
        <v>226</v>
      </c>
      <c r="AB32" s="9">
        <v>14</v>
      </c>
      <c r="AC32" s="9">
        <v>0</v>
      </c>
      <c r="AD32" s="9">
        <v>89</v>
      </c>
      <c r="AE32" s="9">
        <v>1</v>
      </c>
      <c r="AF32" s="9">
        <v>0</v>
      </c>
      <c r="AH32" s="75">
        <v>589</v>
      </c>
      <c r="AI32" s="75">
        <v>586</v>
      </c>
      <c r="AJ32" s="75">
        <v>8</v>
      </c>
      <c r="AK32" s="159">
        <f t="shared" si="6"/>
        <v>1183</v>
      </c>
    </row>
    <row r="33" spans="1:37" ht="16.5">
      <c r="A33" s="515">
        <v>24</v>
      </c>
      <c r="B33" s="360" t="s">
        <v>893</v>
      </c>
      <c r="C33" s="559"/>
      <c r="D33" s="556">
        <f t="shared" si="1"/>
        <v>1182</v>
      </c>
      <c r="E33" s="559">
        <v>4281</v>
      </c>
      <c r="F33" s="559">
        <v>5463</v>
      </c>
      <c r="G33" s="558"/>
      <c r="H33" s="556">
        <f t="shared" si="2"/>
        <v>0</v>
      </c>
      <c r="I33" s="558">
        <v>4115</v>
      </c>
      <c r="J33" s="556">
        <v>4115</v>
      </c>
      <c r="K33" s="564">
        <v>0</v>
      </c>
      <c r="L33" s="564">
        <v>0</v>
      </c>
      <c r="M33" s="564">
        <v>128</v>
      </c>
      <c r="N33" s="564">
        <v>128</v>
      </c>
      <c r="O33" s="557">
        <f t="shared" si="0"/>
        <v>0</v>
      </c>
      <c r="P33" s="557">
        <v>0</v>
      </c>
      <c r="Q33" s="557">
        <v>0</v>
      </c>
      <c r="R33" s="557">
        <f t="shared" si="3"/>
        <v>0</v>
      </c>
      <c r="S33" s="75">
        <f>4633-4115</f>
        <v>518</v>
      </c>
      <c r="U33" s="159">
        <f t="shared" si="4"/>
        <v>0</v>
      </c>
      <c r="V33" s="374">
        <v>4115</v>
      </c>
      <c r="W33" s="159">
        <f t="shared" si="5"/>
        <v>0</v>
      </c>
      <c r="X33" s="9"/>
      <c r="Y33" s="9"/>
      <c r="Z33" s="70"/>
      <c r="AA33" s="9"/>
      <c r="AB33" s="9"/>
      <c r="AC33" s="9"/>
      <c r="AD33" s="9"/>
      <c r="AE33" s="9"/>
      <c r="AF33" s="9"/>
      <c r="AH33" s="75">
        <v>2949</v>
      </c>
      <c r="AI33" s="75">
        <v>1300</v>
      </c>
      <c r="AJ33" s="75">
        <v>32</v>
      </c>
      <c r="AK33" s="159">
        <f t="shared" si="6"/>
        <v>4281</v>
      </c>
    </row>
    <row r="34" spans="1:37" ht="16.5">
      <c r="A34" s="515">
        <v>25</v>
      </c>
      <c r="B34" s="360" t="s">
        <v>894</v>
      </c>
      <c r="C34" s="559">
        <v>0</v>
      </c>
      <c r="D34" s="556">
        <f t="shared" si="1"/>
        <v>344</v>
      </c>
      <c r="E34" s="559">
        <v>2909</v>
      </c>
      <c r="F34" s="559">
        <v>3253</v>
      </c>
      <c r="G34" s="558">
        <v>0</v>
      </c>
      <c r="H34" s="556">
        <f t="shared" si="2"/>
        <v>0</v>
      </c>
      <c r="I34" s="558">
        <v>2756</v>
      </c>
      <c r="J34" s="556">
        <v>2756</v>
      </c>
      <c r="K34" s="564">
        <v>0</v>
      </c>
      <c r="L34" s="564">
        <v>0</v>
      </c>
      <c r="M34" s="564">
        <v>0</v>
      </c>
      <c r="N34" s="564">
        <v>0</v>
      </c>
      <c r="O34" s="557">
        <f t="shared" si="0"/>
        <v>0</v>
      </c>
      <c r="P34" s="557">
        <v>0</v>
      </c>
      <c r="Q34" s="557">
        <v>0</v>
      </c>
      <c r="R34" s="557">
        <f t="shared" si="3"/>
        <v>0</v>
      </c>
      <c r="S34" s="75">
        <f>2909-2756</f>
        <v>153</v>
      </c>
      <c r="U34" s="159">
        <f t="shared" si="4"/>
        <v>0</v>
      </c>
      <c r="V34" s="374">
        <v>2756</v>
      </c>
      <c r="W34" s="159">
        <f t="shared" si="5"/>
        <v>0</v>
      </c>
      <c r="X34" s="9"/>
      <c r="Y34" s="9"/>
      <c r="Z34" s="70"/>
      <c r="AA34" s="9"/>
      <c r="AB34" s="9"/>
      <c r="AC34" s="9"/>
      <c r="AD34" s="9"/>
      <c r="AE34" s="9"/>
      <c r="AF34" s="9"/>
      <c r="AH34" s="75">
        <v>2126</v>
      </c>
      <c r="AI34" s="75">
        <v>783</v>
      </c>
      <c r="AJ34" s="75">
        <v>0</v>
      </c>
      <c r="AK34" s="159">
        <f t="shared" si="6"/>
        <v>2909</v>
      </c>
    </row>
    <row r="35" spans="1:37" ht="16.5">
      <c r="A35" s="515">
        <v>26</v>
      </c>
      <c r="B35" s="360" t="s">
        <v>895</v>
      </c>
      <c r="C35" s="559"/>
      <c r="D35" s="556">
        <f t="shared" si="1"/>
        <v>346</v>
      </c>
      <c r="E35" s="559">
        <v>2746</v>
      </c>
      <c r="F35" s="559">
        <v>3092</v>
      </c>
      <c r="G35" s="558"/>
      <c r="H35" s="556">
        <f t="shared" si="2"/>
        <v>61</v>
      </c>
      <c r="I35" s="558">
        <v>2999</v>
      </c>
      <c r="J35" s="556">
        <v>3060</v>
      </c>
      <c r="K35" s="564">
        <v>0</v>
      </c>
      <c r="L35" s="564">
        <v>0</v>
      </c>
      <c r="M35" s="564">
        <v>0</v>
      </c>
      <c r="N35" s="564">
        <v>0</v>
      </c>
      <c r="O35" s="557">
        <f t="shared" si="0"/>
        <v>0</v>
      </c>
      <c r="P35" s="557">
        <v>0</v>
      </c>
      <c r="Q35" s="557">
        <v>0</v>
      </c>
      <c r="R35" s="557">
        <f t="shared" si="3"/>
        <v>0</v>
      </c>
      <c r="U35" s="159">
        <f t="shared" si="4"/>
        <v>0</v>
      </c>
      <c r="V35" s="374">
        <v>3060</v>
      </c>
      <c r="W35" s="159">
        <f t="shared" si="5"/>
        <v>0</v>
      </c>
      <c r="X35" s="9"/>
      <c r="Y35" s="9"/>
      <c r="Z35" s="70"/>
      <c r="AA35" s="9"/>
      <c r="AB35" s="9"/>
      <c r="AC35" s="9"/>
      <c r="AD35" s="9"/>
      <c r="AE35" s="9"/>
      <c r="AF35" s="9"/>
      <c r="AH35" s="75">
        <v>1730</v>
      </c>
      <c r="AI35" s="75">
        <v>1015</v>
      </c>
      <c r="AJ35" s="75">
        <v>1</v>
      </c>
      <c r="AK35" s="159">
        <f t="shared" si="6"/>
        <v>2746</v>
      </c>
    </row>
    <row r="36" spans="1:37" ht="16.5">
      <c r="A36" s="515">
        <v>27</v>
      </c>
      <c r="B36" s="360" t="s">
        <v>896</v>
      </c>
      <c r="C36" s="559">
        <v>0</v>
      </c>
      <c r="D36" s="556">
        <f t="shared" si="1"/>
        <v>709</v>
      </c>
      <c r="E36" s="559">
        <v>1794</v>
      </c>
      <c r="F36" s="559">
        <v>2503</v>
      </c>
      <c r="G36" s="558">
        <v>0</v>
      </c>
      <c r="H36" s="556">
        <f t="shared" si="2"/>
        <v>146</v>
      </c>
      <c r="I36" s="558">
        <v>2097</v>
      </c>
      <c r="J36" s="556">
        <v>2243</v>
      </c>
      <c r="K36" s="564">
        <v>0</v>
      </c>
      <c r="L36" s="564">
        <v>41</v>
      </c>
      <c r="M36" s="564">
        <v>0</v>
      </c>
      <c r="N36" s="564">
        <v>41</v>
      </c>
      <c r="O36" s="557">
        <f t="shared" si="0"/>
        <v>0</v>
      </c>
      <c r="P36" s="557">
        <v>0</v>
      </c>
      <c r="Q36" s="557">
        <v>0</v>
      </c>
      <c r="R36" s="557">
        <f t="shared" si="3"/>
        <v>0</v>
      </c>
      <c r="U36" s="159">
        <f t="shared" si="4"/>
        <v>0</v>
      </c>
      <c r="V36" s="374">
        <v>2243</v>
      </c>
      <c r="W36" s="159">
        <f t="shared" si="5"/>
        <v>725</v>
      </c>
      <c r="X36" s="9">
        <v>99</v>
      </c>
      <c r="Y36" s="9">
        <v>0</v>
      </c>
      <c r="Z36" s="70">
        <v>0</v>
      </c>
      <c r="AA36" s="9">
        <v>494</v>
      </c>
      <c r="AB36" s="9">
        <v>6</v>
      </c>
      <c r="AC36" s="9">
        <v>0</v>
      </c>
      <c r="AD36" s="9">
        <v>126</v>
      </c>
      <c r="AE36" s="9">
        <v>0</v>
      </c>
      <c r="AF36" s="9">
        <v>0</v>
      </c>
      <c r="AH36" s="75">
        <v>1213</v>
      </c>
      <c r="AI36" s="75">
        <v>581</v>
      </c>
      <c r="AJ36" s="75">
        <v>0</v>
      </c>
      <c r="AK36" s="159">
        <f t="shared" si="6"/>
        <v>1794</v>
      </c>
    </row>
    <row r="37" spans="1:37" ht="16.5">
      <c r="A37" s="515">
        <v>28</v>
      </c>
      <c r="B37" s="360" t="s">
        <v>897</v>
      </c>
      <c r="C37" s="559">
        <v>0</v>
      </c>
      <c r="D37" s="556">
        <f t="shared" si="1"/>
        <v>582</v>
      </c>
      <c r="E37" s="559">
        <v>2856</v>
      </c>
      <c r="F37" s="559">
        <v>3438</v>
      </c>
      <c r="G37" s="558">
        <v>0</v>
      </c>
      <c r="H37" s="556">
        <f t="shared" si="2"/>
        <v>839</v>
      </c>
      <c r="I37" s="558">
        <v>2730</v>
      </c>
      <c r="J37" s="556">
        <v>3569</v>
      </c>
      <c r="K37" s="564">
        <v>0</v>
      </c>
      <c r="L37" s="564">
        <v>0</v>
      </c>
      <c r="M37" s="564">
        <v>0</v>
      </c>
      <c r="N37" s="564">
        <v>0</v>
      </c>
      <c r="O37" s="557">
        <f t="shared" si="0"/>
        <v>0</v>
      </c>
      <c r="P37" s="557">
        <v>0</v>
      </c>
      <c r="Q37" s="557">
        <v>0</v>
      </c>
      <c r="R37" s="557">
        <f t="shared" si="3"/>
        <v>0</v>
      </c>
      <c r="U37" s="159">
        <f t="shared" si="4"/>
        <v>0</v>
      </c>
      <c r="V37" s="374">
        <v>3569</v>
      </c>
      <c r="W37" s="159">
        <f t="shared" si="5"/>
        <v>642</v>
      </c>
      <c r="X37" s="9">
        <v>74</v>
      </c>
      <c r="Y37" s="9">
        <v>0</v>
      </c>
      <c r="Z37" s="70">
        <v>0</v>
      </c>
      <c r="AA37" s="9">
        <v>404</v>
      </c>
      <c r="AB37" s="9">
        <v>0</v>
      </c>
      <c r="AC37" s="9">
        <v>0</v>
      </c>
      <c r="AD37" s="9">
        <v>164</v>
      </c>
      <c r="AE37" s="9">
        <v>0</v>
      </c>
      <c r="AF37" s="9">
        <v>0</v>
      </c>
      <c r="AH37" s="75">
        <v>1902</v>
      </c>
      <c r="AI37" s="75">
        <v>939</v>
      </c>
      <c r="AJ37" s="75">
        <v>15</v>
      </c>
      <c r="AK37" s="159">
        <f t="shared" si="6"/>
        <v>2856</v>
      </c>
    </row>
    <row r="38" spans="1:37" ht="16.5">
      <c r="A38" s="515">
        <v>29</v>
      </c>
      <c r="B38" s="360" t="s">
        <v>898</v>
      </c>
      <c r="C38" s="559">
        <v>0</v>
      </c>
      <c r="D38" s="556">
        <f t="shared" si="1"/>
        <v>215</v>
      </c>
      <c r="E38" s="559">
        <v>1471</v>
      </c>
      <c r="F38" s="559">
        <v>1686</v>
      </c>
      <c r="G38" s="558">
        <v>0</v>
      </c>
      <c r="H38" s="556">
        <f t="shared" si="2"/>
        <v>80</v>
      </c>
      <c r="I38" s="558">
        <v>1471</v>
      </c>
      <c r="J38" s="556">
        <v>1551</v>
      </c>
      <c r="K38" s="564">
        <v>0</v>
      </c>
      <c r="L38" s="564">
        <v>0</v>
      </c>
      <c r="M38" s="564">
        <v>2</v>
      </c>
      <c r="N38" s="564">
        <v>2</v>
      </c>
      <c r="O38" s="557">
        <f t="shared" si="0"/>
        <v>0</v>
      </c>
      <c r="P38" s="557">
        <v>0</v>
      </c>
      <c r="Q38" s="557">
        <v>0</v>
      </c>
      <c r="R38" s="557">
        <f t="shared" si="3"/>
        <v>0</v>
      </c>
      <c r="U38" s="159">
        <f t="shared" si="4"/>
        <v>0</v>
      </c>
      <c r="V38" s="374">
        <v>1551</v>
      </c>
      <c r="W38" s="159">
        <f t="shared" si="5"/>
        <v>145</v>
      </c>
      <c r="X38" s="9">
        <v>19</v>
      </c>
      <c r="Y38" s="9">
        <v>0</v>
      </c>
      <c r="Z38" s="70">
        <v>0</v>
      </c>
      <c r="AA38" s="9">
        <v>126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H38" s="75">
        <v>953</v>
      </c>
      <c r="AI38" s="75">
        <v>518</v>
      </c>
      <c r="AJ38" s="75">
        <v>0</v>
      </c>
      <c r="AK38" s="159">
        <f t="shared" si="6"/>
        <v>1471</v>
      </c>
    </row>
    <row r="39" spans="1:37" ht="16.5">
      <c r="A39" s="515">
        <v>30</v>
      </c>
      <c r="B39" s="360" t="s">
        <v>899</v>
      </c>
      <c r="C39" s="559"/>
      <c r="D39" s="556">
        <f t="shared" si="1"/>
        <v>1119</v>
      </c>
      <c r="E39" s="559">
        <v>2961</v>
      </c>
      <c r="F39" s="559">
        <v>4080</v>
      </c>
      <c r="G39" s="558"/>
      <c r="H39" s="556">
        <f t="shared" si="2"/>
        <v>673</v>
      </c>
      <c r="I39" s="558">
        <v>2626</v>
      </c>
      <c r="J39" s="556">
        <v>3299</v>
      </c>
      <c r="K39" s="564">
        <v>0</v>
      </c>
      <c r="L39" s="564">
        <v>0</v>
      </c>
      <c r="M39" s="564">
        <v>0</v>
      </c>
      <c r="N39" s="564">
        <v>0</v>
      </c>
      <c r="O39" s="557">
        <f t="shared" si="0"/>
        <v>0</v>
      </c>
      <c r="P39" s="557">
        <v>0</v>
      </c>
      <c r="Q39" s="557">
        <v>0</v>
      </c>
      <c r="R39" s="557">
        <f t="shared" si="3"/>
        <v>0</v>
      </c>
      <c r="U39" s="159">
        <f t="shared" si="4"/>
        <v>0</v>
      </c>
      <c r="V39" s="374">
        <v>3299</v>
      </c>
      <c r="W39" s="159">
        <f t="shared" si="5"/>
        <v>0</v>
      </c>
      <c r="X39" s="9"/>
      <c r="Y39" s="9"/>
      <c r="Z39" s="70"/>
      <c r="AA39" s="9"/>
      <c r="AB39" s="9"/>
      <c r="AC39" s="9"/>
      <c r="AD39" s="9"/>
      <c r="AE39" s="9"/>
      <c r="AF39" s="9"/>
      <c r="AH39" s="75">
        <v>2183</v>
      </c>
      <c r="AI39" s="75">
        <v>772</v>
      </c>
      <c r="AJ39" s="75">
        <v>6</v>
      </c>
      <c r="AK39" s="159">
        <f t="shared" si="6"/>
        <v>2961</v>
      </c>
    </row>
    <row r="40" spans="1:37" ht="16.5">
      <c r="A40" s="515">
        <v>31</v>
      </c>
      <c r="B40" s="360" t="s">
        <v>900</v>
      </c>
      <c r="C40" s="559">
        <v>0</v>
      </c>
      <c r="D40" s="556">
        <f t="shared" si="1"/>
        <v>906</v>
      </c>
      <c r="E40" s="559">
        <v>1855</v>
      </c>
      <c r="F40" s="559">
        <v>2761</v>
      </c>
      <c r="G40" s="558"/>
      <c r="H40" s="556">
        <f t="shared" si="2"/>
        <v>0</v>
      </c>
      <c r="I40" s="558">
        <v>1926</v>
      </c>
      <c r="J40" s="556">
        <v>1926</v>
      </c>
      <c r="K40" s="564">
        <v>0</v>
      </c>
      <c r="L40" s="564">
        <v>0</v>
      </c>
      <c r="M40" s="564">
        <v>0</v>
      </c>
      <c r="N40" s="564">
        <v>0</v>
      </c>
      <c r="O40" s="557">
        <f t="shared" si="0"/>
        <v>0</v>
      </c>
      <c r="P40" s="557">
        <v>0</v>
      </c>
      <c r="Q40" s="557">
        <v>0</v>
      </c>
      <c r="R40" s="557">
        <f t="shared" si="3"/>
        <v>0</v>
      </c>
      <c r="U40" s="159">
        <f t="shared" si="4"/>
        <v>0</v>
      </c>
      <c r="V40" s="374">
        <v>1926</v>
      </c>
      <c r="W40" s="159">
        <f t="shared" si="5"/>
        <v>0</v>
      </c>
      <c r="X40" s="9"/>
      <c r="Y40" s="9"/>
      <c r="Z40" s="70"/>
      <c r="AA40" s="9"/>
      <c r="AB40" s="9"/>
      <c r="AC40" s="9"/>
      <c r="AD40" s="9"/>
      <c r="AE40" s="9"/>
      <c r="AF40" s="9"/>
      <c r="AH40" s="75">
        <v>1087</v>
      </c>
      <c r="AI40" s="75">
        <v>757</v>
      </c>
      <c r="AJ40" s="405">
        <v>11</v>
      </c>
      <c r="AK40" s="159">
        <f t="shared" si="6"/>
        <v>1855</v>
      </c>
    </row>
    <row r="41" spans="1:37" ht="16.5">
      <c r="A41" s="515">
        <v>32</v>
      </c>
      <c r="B41" s="360" t="s">
        <v>901</v>
      </c>
      <c r="C41" s="559">
        <v>0</v>
      </c>
      <c r="D41" s="556">
        <f t="shared" si="1"/>
        <v>213</v>
      </c>
      <c r="E41" s="559">
        <v>2202</v>
      </c>
      <c r="F41" s="559">
        <v>2415</v>
      </c>
      <c r="G41" s="558">
        <v>0</v>
      </c>
      <c r="H41" s="556">
        <f t="shared" si="2"/>
        <v>-670</v>
      </c>
      <c r="I41" s="558">
        <v>2335</v>
      </c>
      <c r="J41" s="556">
        <v>1665</v>
      </c>
      <c r="K41" s="564">
        <v>0</v>
      </c>
      <c r="L41" s="564">
        <v>0</v>
      </c>
      <c r="M41" s="564">
        <v>0</v>
      </c>
      <c r="N41" s="564">
        <v>0</v>
      </c>
      <c r="O41" s="557">
        <f t="shared" si="0"/>
        <v>0</v>
      </c>
      <c r="P41" s="557">
        <v>0</v>
      </c>
      <c r="Q41" s="557">
        <v>0</v>
      </c>
      <c r="R41" s="557">
        <f t="shared" si="3"/>
        <v>0</v>
      </c>
      <c r="S41" s="75" t="s">
        <v>981</v>
      </c>
      <c r="U41" s="159">
        <f t="shared" si="4"/>
        <v>0</v>
      </c>
      <c r="V41" s="374">
        <v>1665</v>
      </c>
      <c r="W41" s="159">
        <f t="shared" si="5"/>
        <v>218</v>
      </c>
      <c r="X41" s="9">
        <v>36</v>
      </c>
      <c r="Y41" s="9">
        <v>0</v>
      </c>
      <c r="Z41" s="70">
        <v>0</v>
      </c>
      <c r="AA41" s="9">
        <v>140</v>
      </c>
      <c r="AB41" s="9">
        <v>0</v>
      </c>
      <c r="AC41" s="9">
        <v>0</v>
      </c>
      <c r="AD41" s="9">
        <v>42</v>
      </c>
      <c r="AE41" s="9">
        <v>0</v>
      </c>
      <c r="AF41" s="9">
        <v>0</v>
      </c>
      <c r="AH41" s="75">
        <v>1645</v>
      </c>
      <c r="AI41" s="75">
        <v>557</v>
      </c>
      <c r="AJ41" s="75">
        <v>0</v>
      </c>
      <c r="AK41" s="159">
        <f t="shared" si="6"/>
        <v>2202</v>
      </c>
    </row>
    <row r="42" spans="1:37" s="526" customFormat="1" ht="16.5">
      <c r="A42" s="524">
        <v>33</v>
      </c>
      <c r="B42" s="525" t="s">
        <v>902</v>
      </c>
      <c r="C42" s="566"/>
      <c r="D42" s="560">
        <f t="shared" si="1"/>
        <v>263</v>
      </c>
      <c r="E42" s="566">
        <v>984</v>
      </c>
      <c r="F42" s="566">
        <v>1247</v>
      </c>
      <c r="G42" s="561"/>
      <c r="H42" s="560">
        <f t="shared" si="2"/>
        <v>248</v>
      </c>
      <c r="I42" s="561">
        <v>997</v>
      </c>
      <c r="J42" s="560">
        <v>1245</v>
      </c>
      <c r="K42" s="564">
        <v>0</v>
      </c>
      <c r="L42" s="564">
        <v>0</v>
      </c>
      <c r="M42" s="564">
        <v>0</v>
      </c>
      <c r="N42" s="564">
        <v>0</v>
      </c>
      <c r="O42" s="557">
        <f t="shared" si="0"/>
        <v>0</v>
      </c>
      <c r="P42" s="562">
        <v>0</v>
      </c>
      <c r="Q42" s="562">
        <v>0</v>
      </c>
      <c r="R42" s="562">
        <f t="shared" si="3"/>
        <v>0</v>
      </c>
      <c r="U42" s="527">
        <f t="shared" si="4"/>
        <v>0</v>
      </c>
      <c r="V42" s="442">
        <v>1245</v>
      </c>
      <c r="W42" s="527">
        <f t="shared" si="5"/>
        <v>213</v>
      </c>
      <c r="X42" s="201">
        <v>33</v>
      </c>
      <c r="Y42" s="201">
        <v>0</v>
      </c>
      <c r="Z42" s="528">
        <v>0</v>
      </c>
      <c r="AA42" s="201">
        <v>180</v>
      </c>
      <c r="AB42" s="201">
        <v>0</v>
      </c>
      <c r="AC42" s="201">
        <v>0</v>
      </c>
      <c r="AD42" s="201">
        <v>0</v>
      </c>
      <c r="AE42" s="201">
        <v>0</v>
      </c>
      <c r="AF42" s="201">
        <v>0</v>
      </c>
      <c r="AH42" s="526">
        <v>674</v>
      </c>
      <c r="AI42" s="526">
        <v>308</v>
      </c>
      <c r="AJ42" s="526">
        <v>2</v>
      </c>
      <c r="AK42" s="527">
        <f t="shared" si="6"/>
        <v>984</v>
      </c>
    </row>
    <row r="43" spans="1:37" ht="16.5">
      <c r="A43" s="515">
        <v>34</v>
      </c>
      <c r="B43" s="360" t="s">
        <v>903</v>
      </c>
      <c r="C43" s="559">
        <v>0</v>
      </c>
      <c r="D43" s="556">
        <f t="shared" si="1"/>
        <v>150</v>
      </c>
      <c r="E43" s="559">
        <v>958</v>
      </c>
      <c r="F43" s="559">
        <v>1108</v>
      </c>
      <c r="G43" s="558">
        <v>0</v>
      </c>
      <c r="H43" s="556">
        <f t="shared" si="2"/>
        <v>221</v>
      </c>
      <c r="I43" s="558">
        <v>818</v>
      </c>
      <c r="J43" s="556">
        <v>1039</v>
      </c>
      <c r="K43" s="564">
        <v>0</v>
      </c>
      <c r="L43" s="564">
        <v>0</v>
      </c>
      <c r="M43" s="564">
        <v>0</v>
      </c>
      <c r="N43" s="564">
        <v>0</v>
      </c>
      <c r="O43" s="557">
        <f t="shared" si="0"/>
        <v>0</v>
      </c>
      <c r="P43" s="557">
        <v>0</v>
      </c>
      <c r="Q43" s="557">
        <v>0</v>
      </c>
      <c r="R43" s="557">
        <f t="shared" si="3"/>
        <v>0</v>
      </c>
      <c r="U43" s="159">
        <f t="shared" si="4"/>
        <v>0</v>
      </c>
      <c r="V43" s="374">
        <v>1039</v>
      </c>
      <c r="W43" s="159">
        <f t="shared" si="5"/>
        <v>121</v>
      </c>
      <c r="X43" s="9">
        <v>24</v>
      </c>
      <c r="Y43" s="9">
        <v>0</v>
      </c>
      <c r="Z43" s="70">
        <v>0</v>
      </c>
      <c r="AA43" s="9">
        <v>38</v>
      </c>
      <c r="AB43" s="9">
        <v>0</v>
      </c>
      <c r="AC43" s="9">
        <v>0</v>
      </c>
      <c r="AD43" s="9">
        <v>59</v>
      </c>
      <c r="AE43" s="9">
        <v>0</v>
      </c>
      <c r="AF43" s="9">
        <v>0</v>
      </c>
      <c r="AH43" s="75">
        <v>501</v>
      </c>
      <c r="AI43" s="75">
        <v>454</v>
      </c>
      <c r="AJ43" s="75">
        <v>3</v>
      </c>
      <c r="AK43" s="159">
        <f t="shared" si="6"/>
        <v>958</v>
      </c>
    </row>
    <row r="44" spans="1:37" ht="16.5">
      <c r="A44" s="515">
        <v>35</v>
      </c>
      <c r="B44" s="360" t="s">
        <v>904</v>
      </c>
      <c r="C44" s="559">
        <v>0</v>
      </c>
      <c r="D44" s="556">
        <f t="shared" si="1"/>
        <v>491</v>
      </c>
      <c r="E44" s="559">
        <v>2278</v>
      </c>
      <c r="F44" s="559">
        <v>2769</v>
      </c>
      <c r="G44" s="558"/>
      <c r="H44" s="556">
        <f t="shared" si="2"/>
        <v>49</v>
      </c>
      <c r="I44" s="558">
        <v>2278</v>
      </c>
      <c r="J44" s="556">
        <v>2327</v>
      </c>
      <c r="K44" s="564">
        <v>0</v>
      </c>
      <c r="L44" s="564">
        <v>0</v>
      </c>
      <c r="M44" s="564">
        <v>0</v>
      </c>
      <c r="N44" s="564">
        <v>0</v>
      </c>
      <c r="O44" s="557">
        <f t="shared" si="0"/>
        <v>0</v>
      </c>
      <c r="P44" s="557">
        <v>0</v>
      </c>
      <c r="Q44" s="557">
        <v>0</v>
      </c>
      <c r="R44" s="557">
        <f t="shared" si="3"/>
        <v>0</v>
      </c>
      <c r="U44" s="159">
        <f t="shared" si="4"/>
        <v>0</v>
      </c>
      <c r="V44" s="374">
        <v>2327</v>
      </c>
      <c r="W44" s="159">
        <f t="shared" si="5"/>
        <v>478</v>
      </c>
      <c r="X44" s="9">
        <v>52</v>
      </c>
      <c r="Y44" s="9">
        <v>0</v>
      </c>
      <c r="Z44" s="70">
        <v>1</v>
      </c>
      <c r="AA44" s="9">
        <v>227</v>
      </c>
      <c r="AB44" s="9">
        <v>0</v>
      </c>
      <c r="AC44" s="9">
        <v>0</v>
      </c>
      <c r="AD44" s="9">
        <v>198</v>
      </c>
      <c r="AE44" s="9">
        <v>0</v>
      </c>
      <c r="AF44" s="9">
        <v>0</v>
      </c>
      <c r="AH44" s="75">
        <v>1347</v>
      </c>
      <c r="AI44" s="75">
        <v>894</v>
      </c>
      <c r="AJ44" s="75">
        <v>37</v>
      </c>
      <c r="AK44" s="159">
        <f t="shared" si="6"/>
        <v>2278</v>
      </c>
    </row>
    <row r="45" spans="1:18" s="530" customFormat="1" ht="15.75">
      <c r="A45" s="518" t="s">
        <v>19</v>
      </c>
      <c r="B45" s="529"/>
      <c r="C45" s="559">
        <f>SUM(C10:C44)</f>
        <v>14</v>
      </c>
      <c r="D45" s="559">
        <f>SUM(D10:D44)</f>
        <v>19849</v>
      </c>
      <c r="E45" s="559">
        <f>SUM(E10:E44)</f>
        <v>66844</v>
      </c>
      <c r="F45" s="559">
        <f>SUM(F10:F44)</f>
        <v>86707</v>
      </c>
      <c r="G45" s="558"/>
      <c r="H45" s="558">
        <f>SUM(H10:H44)</f>
        <v>8655</v>
      </c>
      <c r="I45" s="558">
        <f>SUM(I10:I44)</f>
        <v>63128</v>
      </c>
      <c r="J45" s="558">
        <f>SUM(J10:J44)</f>
        <v>71783</v>
      </c>
      <c r="K45" s="558">
        <f aca="true" t="shared" si="7" ref="K45:R45">SUM(K10:K44)</f>
        <v>0</v>
      </c>
      <c r="L45" s="558">
        <f t="shared" si="7"/>
        <v>334</v>
      </c>
      <c r="M45" s="558">
        <f t="shared" si="7"/>
        <v>684</v>
      </c>
      <c r="N45" s="558">
        <f t="shared" si="7"/>
        <v>1018</v>
      </c>
      <c r="O45" s="557">
        <v>0</v>
      </c>
      <c r="P45" s="563">
        <f t="shared" si="7"/>
        <v>0</v>
      </c>
      <c r="Q45" s="563">
        <f t="shared" si="7"/>
        <v>0</v>
      </c>
      <c r="R45" s="563">
        <f t="shared" si="7"/>
        <v>0</v>
      </c>
    </row>
    <row r="48" spans="1:18" s="16" customFormat="1" ht="12.75" customHeight="1">
      <c r="A48" s="15" t="s">
        <v>12</v>
      </c>
      <c r="G48" s="748" t="s">
        <v>1021</v>
      </c>
      <c r="H48" s="748"/>
      <c r="I48" s="748"/>
      <c r="J48" s="83"/>
      <c r="M48" s="36"/>
      <c r="N48" s="36"/>
      <c r="O48" s="748" t="s">
        <v>1024</v>
      </c>
      <c r="P48" s="748"/>
      <c r="Q48" s="748"/>
      <c r="R48" s="748"/>
    </row>
    <row r="49" spans="7:18" s="16" customFormat="1" ht="12.75" customHeight="1">
      <c r="G49" s="748" t="s">
        <v>1022</v>
      </c>
      <c r="H49" s="748"/>
      <c r="I49" s="748"/>
      <c r="J49" s="83"/>
      <c r="M49" s="36"/>
      <c r="N49" s="36"/>
      <c r="O49" s="748" t="s">
        <v>1025</v>
      </c>
      <c r="P49" s="748"/>
      <c r="Q49" s="748"/>
      <c r="R49" s="748"/>
    </row>
    <row r="50" spans="7:18" s="16" customFormat="1" ht="12.75" customHeight="1">
      <c r="G50" s="735" t="s">
        <v>1023</v>
      </c>
      <c r="H50" s="735"/>
      <c r="I50" s="735"/>
      <c r="J50" s="36"/>
      <c r="M50" s="15"/>
      <c r="N50" s="15"/>
      <c r="O50" s="735" t="s">
        <v>1023</v>
      </c>
      <c r="P50" s="735"/>
      <c r="Q50" s="735"/>
      <c r="R50" s="735"/>
    </row>
    <row r="51" spans="1:17" s="16" customFormat="1" ht="12.75">
      <c r="A51" s="15"/>
      <c r="B51" s="15"/>
      <c r="G51"/>
      <c r="H51"/>
      <c r="I51"/>
      <c r="J51"/>
      <c r="K51"/>
      <c r="L51"/>
      <c r="M51" s="15"/>
      <c r="N51" s="32"/>
      <c r="O51" s="1"/>
      <c r="P51" s="1"/>
      <c r="Q51" s="125"/>
    </row>
  </sheetData>
  <sheetProtection/>
  <mergeCells count="14">
    <mergeCell ref="A7:A8"/>
    <mergeCell ref="B7:B8"/>
    <mergeCell ref="G1:M1"/>
    <mergeCell ref="E2:O2"/>
    <mergeCell ref="O7:R7"/>
    <mergeCell ref="C7:F7"/>
    <mergeCell ref="K7:N7"/>
    <mergeCell ref="G7:J7"/>
    <mergeCell ref="O48:R48"/>
    <mergeCell ref="G49:I49"/>
    <mergeCell ref="O49:R49"/>
    <mergeCell ref="G50:I50"/>
    <mergeCell ref="O50:R50"/>
    <mergeCell ref="G48:I48"/>
  </mergeCells>
  <printOptions horizontalCentered="1"/>
  <pageMargins left="0.7086614173228347" right="0.7086614173228347" top="0.2362204724409449" bottom="0" header="0.26" footer="0.31496062992125984"/>
  <pageSetup fitToHeight="1" fitToWidth="1" horizontalDpi="600" verticalDpi="600" orientation="landscape" paperSize="9" scale="68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2"/>
  <sheetViews>
    <sheetView view="pageBreakPreview" zoomScaleNormal="80" zoomScaleSheetLayoutView="100" zoomScalePageLayoutView="0" workbookViewId="0" topLeftCell="E37">
      <selection activeCell="H49" sqref="H49:S51"/>
    </sheetView>
  </sheetViews>
  <sheetFormatPr defaultColWidth="9.140625" defaultRowHeight="12.75"/>
  <cols>
    <col min="1" max="1" width="9.140625" style="75" customWidth="1"/>
    <col min="2" max="2" width="14.00390625" style="75" customWidth="1"/>
    <col min="3" max="3" width="15.421875" style="75" customWidth="1"/>
    <col min="4" max="4" width="14.8515625" style="75" customWidth="1"/>
    <col min="5" max="5" width="11.8515625" style="75" customWidth="1"/>
    <col min="6" max="6" width="9.8515625" style="75" customWidth="1"/>
    <col min="7" max="7" width="12.7109375" style="75" customWidth="1"/>
    <col min="8" max="9" width="11.00390625" style="75" customWidth="1"/>
    <col min="10" max="10" width="14.140625" style="75" customWidth="1"/>
    <col min="11" max="11" width="12.28125" style="75" customWidth="1"/>
    <col min="12" max="12" width="13.140625" style="75" customWidth="1"/>
    <col min="13" max="13" width="9.7109375" style="75" customWidth="1"/>
    <col min="14" max="14" width="9.57421875" style="75" customWidth="1"/>
    <col min="15" max="15" width="12.7109375" style="75" customWidth="1"/>
    <col min="16" max="16" width="13.28125" style="75" customWidth="1"/>
    <col min="17" max="17" width="11.28125" style="75" customWidth="1"/>
    <col min="18" max="18" width="9.28125" style="75" customWidth="1"/>
    <col min="19" max="19" width="9.140625" style="75" customWidth="1"/>
    <col min="20" max="20" width="12.28125" style="75" customWidth="1"/>
    <col min="21" max="16384" width="9.140625" style="75" customWidth="1"/>
  </cols>
  <sheetData>
    <row r="1" spans="3:18" s="16" customFormat="1" ht="15.75">
      <c r="C1" s="45"/>
      <c r="D1" s="45"/>
      <c r="E1" s="45"/>
      <c r="F1" s="45"/>
      <c r="G1" s="45"/>
      <c r="H1" s="45"/>
      <c r="I1" s="105" t="s">
        <v>0</v>
      </c>
      <c r="J1" s="45"/>
      <c r="Q1" s="897" t="s">
        <v>557</v>
      </c>
      <c r="R1" s="897"/>
    </row>
    <row r="2" spans="7:17" s="16" customFormat="1" ht="20.25">
      <c r="G2" s="733" t="s">
        <v>656</v>
      </c>
      <c r="H2" s="733"/>
      <c r="I2" s="733"/>
      <c r="J2" s="733"/>
      <c r="K2" s="733"/>
      <c r="L2" s="733"/>
      <c r="M2" s="733"/>
      <c r="N2" s="44"/>
      <c r="O2" s="44"/>
      <c r="P2" s="44"/>
      <c r="Q2" s="44"/>
    </row>
    <row r="3" spans="7:17" s="16" customFormat="1" ht="20.25">
      <c r="G3" s="123"/>
      <c r="H3" s="123"/>
      <c r="I3" s="123"/>
      <c r="J3" s="123"/>
      <c r="K3" s="123"/>
      <c r="L3" s="123"/>
      <c r="M3" s="123"/>
      <c r="N3" s="44"/>
      <c r="O3" s="44"/>
      <c r="P3" s="44"/>
      <c r="Q3" s="44"/>
    </row>
    <row r="4" spans="2:20" ht="18">
      <c r="B4" s="511" t="s">
        <v>742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</row>
    <row r="5" spans="3:20" ht="15.75">
      <c r="C5" s="76"/>
      <c r="D5" s="7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3" ht="15">
      <c r="A6" s="208" t="s">
        <v>1020</v>
      </c>
      <c r="B6" s="208"/>
      <c r="C6" s="209"/>
    </row>
    <row r="7" spans="2:17" ht="15">
      <c r="B7" s="78"/>
      <c r="Q7" s="111" t="s">
        <v>140</v>
      </c>
    </row>
    <row r="8" spans="1:19" s="79" customFormat="1" ht="32.25" customHeight="1">
      <c r="A8" s="709" t="s">
        <v>2</v>
      </c>
      <c r="B8" s="1044" t="s">
        <v>3</v>
      </c>
      <c r="C8" s="1049" t="s">
        <v>468</v>
      </c>
      <c r="D8" s="1049"/>
      <c r="E8" s="1049"/>
      <c r="F8" s="1049"/>
      <c r="G8" s="1049" t="s">
        <v>469</v>
      </c>
      <c r="H8" s="1049"/>
      <c r="I8" s="1049"/>
      <c r="J8" s="1049"/>
      <c r="K8" s="1049" t="s">
        <v>470</v>
      </c>
      <c r="L8" s="1049"/>
      <c r="M8" s="1049"/>
      <c r="N8" s="1049"/>
      <c r="O8" s="1049" t="s">
        <v>471</v>
      </c>
      <c r="P8" s="1049"/>
      <c r="Q8" s="1049"/>
      <c r="R8" s="1044"/>
      <c r="S8" s="1051" t="s">
        <v>163</v>
      </c>
    </row>
    <row r="9" spans="1:19" s="80" customFormat="1" ht="75" customHeight="1">
      <c r="A9" s="709"/>
      <c r="B9" s="1045"/>
      <c r="C9" s="85" t="s">
        <v>160</v>
      </c>
      <c r="D9" s="128" t="s">
        <v>162</v>
      </c>
      <c r="E9" s="85" t="s">
        <v>139</v>
      </c>
      <c r="F9" s="128" t="s">
        <v>161</v>
      </c>
      <c r="G9" s="85" t="s">
        <v>252</v>
      </c>
      <c r="H9" s="128" t="s">
        <v>162</v>
      </c>
      <c r="I9" s="85" t="s">
        <v>139</v>
      </c>
      <c r="J9" s="128" t="s">
        <v>161</v>
      </c>
      <c r="K9" s="85" t="s">
        <v>252</v>
      </c>
      <c r="L9" s="128" t="s">
        <v>162</v>
      </c>
      <c r="M9" s="85" t="s">
        <v>139</v>
      </c>
      <c r="N9" s="128" t="s">
        <v>161</v>
      </c>
      <c r="O9" s="85" t="s">
        <v>252</v>
      </c>
      <c r="P9" s="128" t="s">
        <v>162</v>
      </c>
      <c r="Q9" s="85" t="s">
        <v>139</v>
      </c>
      <c r="R9" s="129" t="s">
        <v>161</v>
      </c>
      <c r="S9" s="1051"/>
    </row>
    <row r="10" spans="1:19" s="80" customFormat="1" ht="15.75" customHeight="1">
      <c r="A10" s="5">
        <v>1</v>
      </c>
      <c r="B10" s="8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  <c r="M10" s="74">
        <v>13</v>
      </c>
      <c r="N10" s="74">
        <v>14</v>
      </c>
      <c r="O10" s="74">
        <v>15</v>
      </c>
      <c r="P10" s="74">
        <v>16</v>
      </c>
      <c r="Q10" s="74">
        <v>17</v>
      </c>
      <c r="R10" s="119">
        <v>18</v>
      </c>
      <c r="S10" s="127">
        <v>19</v>
      </c>
    </row>
    <row r="11" spans="1:19" s="80" customFormat="1" ht="15.75" customHeight="1">
      <c r="A11" s="5">
        <v>1</v>
      </c>
      <c r="B11" s="328" t="s">
        <v>870</v>
      </c>
      <c r="C11" s="567">
        <v>0</v>
      </c>
      <c r="D11" s="567">
        <v>0</v>
      </c>
      <c r="E11" s="567">
        <v>0</v>
      </c>
      <c r="F11" s="567">
        <v>0</v>
      </c>
      <c r="G11" s="567">
        <v>0</v>
      </c>
      <c r="H11" s="567">
        <v>0</v>
      </c>
      <c r="I11" s="567">
        <v>0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7">
        <v>0</v>
      </c>
      <c r="P11" s="567">
        <v>0</v>
      </c>
      <c r="Q11" s="567">
        <v>0</v>
      </c>
      <c r="R11" s="567">
        <v>0</v>
      </c>
      <c r="S11" s="567">
        <v>0</v>
      </c>
    </row>
    <row r="12" spans="1:19" s="80" customFormat="1" ht="15.75" customHeight="1">
      <c r="A12" s="5">
        <v>2</v>
      </c>
      <c r="B12" s="328" t="s">
        <v>871</v>
      </c>
      <c r="C12" s="567">
        <v>0</v>
      </c>
      <c r="D12" s="567">
        <v>0</v>
      </c>
      <c r="E12" s="567">
        <v>0</v>
      </c>
      <c r="F12" s="567">
        <v>0</v>
      </c>
      <c r="G12" s="567">
        <v>0</v>
      </c>
      <c r="H12" s="567">
        <v>0</v>
      </c>
      <c r="I12" s="567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7">
        <v>0</v>
      </c>
      <c r="P12" s="567">
        <v>0</v>
      </c>
      <c r="Q12" s="567">
        <v>0</v>
      </c>
      <c r="R12" s="567">
        <v>0</v>
      </c>
      <c r="S12" s="567">
        <v>0</v>
      </c>
    </row>
    <row r="13" spans="1:19" s="80" customFormat="1" ht="15.75" customHeight="1">
      <c r="A13" s="5">
        <v>3</v>
      </c>
      <c r="B13" s="328" t="s">
        <v>872</v>
      </c>
      <c r="C13" s="567">
        <v>0</v>
      </c>
      <c r="D13" s="567">
        <v>0</v>
      </c>
      <c r="E13" s="567">
        <v>0</v>
      </c>
      <c r="F13" s="567">
        <v>0</v>
      </c>
      <c r="G13" s="567">
        <v>0</v>
      </c>
      <c r="H13" s="567">
        <v>0</v>
      </c>
      <c r="I13" s="567">
        <v>0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7">
        <v>0</v>
      </c>
      <c r="P13" s="567">
        <v>0</v>
      </c>
      <c r="Q13" s="567">
        <v>0</v>
      </c>
      <c r="R13" s="567">
        <v>0</v>
      </c>
      <c r="S13" s="567">
        <v>0</v>
      </c>
    </row>
    <row r="14" spans="1:19" s="80" customFormat="1" ht="15.75" customHeight="1">
      <c r="A14" s="5">
        <v>4</v>
      </c>
      <c r="B14" s="328" t="s">
        <v>873</v>
      </c>
      <c r="C14" s="567">
        <v>0</v>
      </c>
      <c r="D14" s="567">
        <v>0</v>
      </c>
      <c r="E14" s="567">
        <v>0</v>
      </c>
      <c r="F14" s="567">
        <v>0</v>
      </c>
      <c r="G14" s="567">
        <v>0</v>
      </c>
      <c r="H14" s="567">
        <v>0</v>
      </c>
      <c r="I14" s="567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7">
        <v>0</v>
      </c>
      <c r="P14" s="567">
        <v>0</v>
      </c>
      <c r="Q14" s="567">
        <v>0</v>
      </c>
      <c r="R14" s="567">
        <v>0</v>
      </c>
      <c r="S14" s="567">
        <v>0</v>
      </c>
    </row>
    <row r="15" spans="1:19" s="80" customFormat="1" ht="15.75" customHeight="1">
      <c r="A15" s="5">
        <v>5</v>
      </c>
      <c r="B15" s="328" t="s">
        <v>874</v>
      </c>
      <c r="C15" s="567">
        <v>0</v>
      </c>
      <c r="D15" s="567">
        <v>0</v>
      </c>
      <c r="E15" s="567">
        <v>0</v>
      </c>
      <c r="F15" s="567">
        <v>0</v>
      </c>
      <c r="G15" s="567">
        <v>0</v>
      </c>
      <c r="H15" s="567">
        <v>0</v>
      </c>
      <c r="I15" s="567">
        <v>0</v>
      </c>
      <c r="J15" s="567">
        <v>0</v>
      </c>
      <c r="K15" s="567">
        <v>0</v>
      </c>
      <c r="L15" s="567">
        <v>0</v>
      </c>
      <c r="M15" s="567">
        <v>0</v>
      </c>
      <c r="N15" s="567">
        <v>0</v>
      </c>
      <c r="O15" s="567">
        <v>0</v>
      </c>
      <c r="P15" s="567">
        <v>0</v>
      </c>
      <c r="Q15" s="567">
        <v>0</v>
      </c>
      <c r="R15" s="567">
        <v>0</v>
      </c>
      <c r="S15" s="567">
        <v>0</v>
      </c>
    </row>
    <row r="16" spans="1:19" s="80" customFormat="1" ht="15.75" customHeight="1">
      <c r="A16" s="5">
        <v>6</v>
      </c>
      <c r="B16" s="328" t="s">
        <v>875</v>
      </c>
      <c r="C16" s="567">
        <v>0</v>
      </c>
      <c r="D16" s="567">
        <v>0</v>
      </c>
      <c r="E16" s="567">
        <v>0</v>
      </c>
      <c r="F16" s="567">
        <v>0</v>
      </c>
      <c r="G16" s="567">
        <v>0</v>
      </c>
      <c r="H16" s="567">
        <v>0</v>
      </c>
      <c r="I16" s="567">
        <v>0</v>
      </c>
      <c r="J16" s="567">
        <v>0</v>
      </c>
      <c r="K16" s="567">
        <v>0</v>
      </c>
      <c r="L16" s="567">
        <v>0</v>
      </c>
      <c r="M16" s="567">
        <v>0</v>
      </c>
      <c r="N16" s="567">
        <v>0</v>
      </c>
      <c r="O16" s="567">
        <v>0</v>
      </c>
      <c r="P16" s="567">
        <v>0</v>
      </c>
      <c r="Q16" s="567">
        <v>0</v>
      </c>
      <c r="R16" s="567">
        <v>0</v>
      </c>
      <c r="S16" s="567">
        <v>0</v>
      </c>
    </row>
    <row r="17" spans="1:19" s="80" customFormat="1" ht="15.75" customHeight="1">
      <c r="A17" s="5">
        <v>7</v>
      </c>
      <c r="B17" s="328" t="s">
        <v>876</v>
      </c>
      <c r="C17" s="567">
        <v>0</v>
      </c>
      <c r="D17" s="567">
        <v>0</v>
      </c>
      <c r="E17" s="567">
        <v>0</v>
      </c>
      <c r="F17" s="567">
        <v>0</v>
      </c>
      <c r="G17" s="567">
        <v>0</v>
      </c>
      <c r="H17" s="567">
        <v>0</v>
      </c>
      <c r="I17" s="567">
        <v>0</v>
      </c>
      <c r="J17" s="567">
        <v>0</v>
      </c>
      <c r="K17" s="567">
        <v>0</v>
      </c>
      <c r="L17" s="567">
        <v>0</v>
      </c>
      <c r="M17" s="567">
        <v>0</v>
      </c>
      <c r="N17" s="567">
        <v>0</v>
      </c>
      <c r="O17" s="567">
        <v>0</v>
      </c>
      <c r="P17" s="567">
        <v>0</v>
      </c>
      <c r="Q17" s="567">
        <v>0</v>
      </c>
      <c r="R17" s="567">
        <v>0</v>
      </c>
      <c r="S17" s="567">
        <v>0</v>
      </c>
    </row>
    <row r="18" spans="1:19" ht="15">
      <c r="A18" s="5">
        <v>8</v>
      </c>
      <c r="B18" s="328" t="s">
        <v>877</v>
      </c>
      <c r="C18" s="567">
        <v>0</v>
      </c>
      <c r="D18" s="567">
        <v>0</v>
      </c>
      <c r="E18" s="567">
        <v>0</v>
      </c>
      <c r="F18" s="567">
        <v>0</v>
      </c>
      <c r="G18" s="567">
        <v>0</v>
      </c>
      <c r="H18" s="567">
        <v>0</v>
      </c>
      <c r="I18" s="567">
        <v>0</v>
      </c>
      <c r="J18" s="567">
        <v>0</v>
      </c>
      <c r="K18" s="567">
        <v>0</v>
      </c>
      <c r="L18" s="567">
        <v>0</v>
      </c>
      <c r="M18" s="567">
        <v>0</v>
      </c>
      <c r="N18" s="567">
        <v>0</v>
      </c>
      <c r="O18" s="567">
        <v>0</v>
      </c>
      <c r="P18" s="567">
        <v>0</v>
      </c>
      <c r="Q18" s="567">
        <v>0</v>
      </c>
      <c r="R18" s="567">
        <v>0</v>
      </c>
      <c r="S18" s="567">
        <v>0</v>
      </c>
    </row>
    <row r="19" spans="1:19" ht="15">
      <c r="A19" s="5">
        <v>9</v>
      </c>
      <c r="B19" s="328" t="s">
        <v>878</v>
      </c>
      <c r="C19" s="567">
        <v>0</v>
      </c>
      <c r="D19" s="567">
        <v>0</v>
      </c>
      <c r="E19" s="567">
        <v>0</v>
      </c>
      <c r="F19" s="567">
        <v>0</v>
      </c>
      <c r="G19" s="567">
        <v>0</v>
      </c>
      <c r="H19" s="567">
        <v>0</v>
      </c>
      <c r="I19" s="567">
        <v>0</v>
      </c>
      <c r="J19" s="567">
        <v>0</v>
      </c>
      <c r="K19" s="567">
        <v>0</v>
      </c>
      <c r="L19" s="567">
        <v>0</v>
      </c>
      <c r="M19" s="567">
        <v>0</v>
      </c>
      <c r="N19" s="567">
        <v>0</v>
      </c>
      <c r="O19" s="567">
        <v>0</v>
      </c>
      <c r="P19" s="567">
        <v>0</v>
      </c>
      <c r="Q19" s="567">
        <v>0</v>
      </c>
      <c r="R19" s="567">
        <v>0</v>
      </c>
      <c r="S19" s="567">
        <v>0</v>
      </c>
    </row>
    <row r="20" spans="1:19" ht="15">
      <c r="A20" s="5">
        <v>10</v>
      </c>
      <c r="B20" s="328" t="s">
        <v>879</v>
      </c>
      <c r="C20" s="567">
        <v>0</v>
      </c>
      <c r="D20" s="567">
        <v>0</v>
      </c>
      <c r="E20" s="567">
        <v>0</v>
      </c>
      <c r="F20" s="567">
        <v>0</v>
      </c>
      <c r="G20" s="567">
        <v>0</v>
      </c>
      <c r="H20" s="567">
        <v>0</v>
      </c>
      <c r="I20" s="567">
        <v>0</v>
      </c>
      <c r="J20" s="567">
        <v>0</v>
      </c>
      <c r="K20" s="567">
        <v>0</v>
      </c>
      <c r="L20" s="567">
        <v>0</v>
      </c>
      <c r="M20" s="567">
        <v>0</v>
      </c>
      <c r="N20" s="567">
        <v>0</v>
      </c>
      <c r="O20" s="567">
        <v>0</v>
      </c>
      <c r="P20" s="567">
        <v>0</v>
      </c>
      <c r="Q20" s="567">
        <v>0</v>
      </c>
      <c r="R20" s="567">
        <v>0</v>
      </c>
      <c r="S20" s="567">
        <v>0</v>
      </c>
    </row>
    <row r="21" spans="1:19" ht="15">
      <c r="A21" s="5">
        <v>11</v>
      </c>
      <c r="B21" s="328" t="s">
        <v>880</v>
      </c>
      <c r="C21" s="567">
        <v>0</v>
      </c>
      <c r="D21" s="567">
        <v>0</v>
      </c>
      <c r="E21" s="567">
        <v>0</v>
      </c>
      <c r="F21" s="567">
        <v>0</v>
      </c>
      <c r="G21" s="567">
        <v>0</v>
      </c>
      <c r="H21" s="567">
        <v>0</v>
      </c>
      <c r="I21" s="567">
        <v>0</v>
      </c>
      <c r="J21" s="567">
        <v>0</v>
      </c>
      <c r="K21" s="567">
        <v>0</v>
      </c>
      <c r="L21" s="567">
        <v>0</v>
      </c>
      <c r="M21" s="567">
        <v>0</v>
      </c>
      <c r="N21" s="567">
        <v>0</v>
      </c>
      <c r="O21" s="567">
        <v>0</v>
      </c>
      <c r="P21" s="567">
        <v>0</v>
      </c>
      <c r="Q21" s="567">
        <v>0</v>
      </c>
      <c r="R21" s="567">
        <v>0</v>
      </c>
      <c r="S21" s="567">
        <v>0</v>
      </c>
    </row>
    <row r="22" spans="1:45" s="81" customFormat="1" ht="15">
      <c r="A22" s="5">
        <v>12</v>
      </c>
      <c r="B22" s="328" t="s">
        <v>881</v>
      </c>
      <c r="C22" s="567">
        <v>0</v>
      </c>
      <c r="D22" s="567">
        <v>0</v>
      </c>
      <c r="E22" s="567">
        <v>0</v>
      </c>
      <c r="F22" s="567">
        <v>0</v>
      </c>
      <c r="G22" s="567">
        <v>0</v>
      </c>
      <c r="H22" s="567">
        <v>0</v>
      </c>
      <c r="I22" s="567">
        <v>0</v>
      </c>
      <c r="J22" s="567">
        <v>0</v>
      </c>
      <c r="K22" s="567">
        <v>0</v>
      </c>
      <c r="L22" s="567">
        <v>0</v>
      </c>
      <c r="M22" s="567">
        <v>0</v>
      </c>
      <c r="N22" s="567">
        <v>0</v>
      </c>
      <c r="O22" s="567">
        <v>0</v>
      </c>
      <c r="P22" s="567">
        <v>0</v>
      </c>
      <c r="Q22" s="567">
        <v>0</v>
      </c>
      <c r="R22" s="567">
        <v>0</v>
      </c>
      <c r="S22" s="567">
        <v>0</v>
      </c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</row>
    <row r="23" spans="1:19" ht="15">
      <c r="A23" s="5">
        <v>13</v>
      </c>
      <c r="B23" s="328" t="s">
        <v>882</v>
      </c>
      <c r="C23" s="567">
        <v>0</v>
      </c>
      <c r="D23" s="567">
        <v>0</v>
      </c>
      <c r="E23" s="567">
        <v>0</v>
      </c>
      <c r="F23" s="567">
        <v>0</v>
      </c>
      <c r="G23" s="567">
        <v>0</v>
      </c>
      <c r="H23" s="567">
        <v>0</v>
      </c>
      <c r="I23" s="567">
        <v>0</v>
      </c>
      <c r="J23" s="567">
        <v>0</v>
      </c>
      <c r="K23" s="567">
        <v>0</v>
      </c>
      <c r="L23" s="567">
        <v>0</v>
      </c>
      <c r="M23" s="567">
        <v>0</v>
      </c>
      <c r="N23" s="567">
        <v>0</v>
      </c>
      <c r="O23" s="567">
        <v>0</v>
      </c>
      <c r="P23" s="567">
        <v>0</v>
      </c>
      <c r="Q23" s="567">
        <v>0</v>
      </c>
      <c r="R23" s="567">
        <v>0</v>
      </c>
      <c r="S23" s="567">
        <v>0</v>
      </c>
    </row>
    <row r="24" spans="1:19" ht="15">
      <c r="A24" s="5">
        <v>14</v>
      </c>
      <c r="B24" s="328" t="s">
        <v>883</v>
      </c>
      <c r="C24" s="567">
        <v>0</v>
      </c>
      <c r="D24" s="567">
        <v>0</v>
      </c>
      <c r="E24" s="567">
        <v>0</v>
      </c>
      <c r="F24" s="567">
        <v>0</v>
      </c>
      <c r="G24" s="567">
        <v>0</v>
      </c>
      <c r="H24" s="567">
        <v>0</v>
      </c>
      <c r="I24" s="567">
        <v>0</v>
      </c>
      <c r="J24" s="567">
        <v>0</v>
      </c>
      <c r="K24" s="567">
        <v>0</v>
      </c>
      <c r="L24" s="567">
        <v>0</v>
      </c>
      <c r="M24" s="567">
        <v>0</v>
      </c>
      <c r="N24" s="567">
        <v>0</v>
      </c>
      <c r="O24" s="567">
        <v>0</v>
      </c>
      <c r="P24" s="567">
        <v>0</v>
      </c>
      <c r="Q24" s="567">
        <v>0</v>
      </c>
      <c r="R24" s="567">
        <v>0</v>
      </c>
      <c r="S24" s="567">
        <v>0</v>
      </c>
    </row>
    <row r="25" spans="1:19" ht="15">
      <c r="A25" s="5">
        <v>15</v>
      </c>
      <c r="B25" s="328" t="s">
        <v>884</v>
      </c>
      <c r="C25" s="567">
        <v>0</v>
      </c>
      <c r="D25" s="567">
        <v>0</v>
      </c>
      <c r="E25" s="567">
        <v>0</v>
      </c>
      <c r="F25" s="567">
        <v>0</v>
      </c>
      <c r="G25" s="567">
        <v>0</v>
      </c>
      <c r="H25" s="567">
        <v>0</v>
      </c>
      <c r="I25" s="567">
        <v>0</v>
      </c>
      <c r="J25" s="567">
        <v>0</v>
      </c>
      <c r="K25" s="567">
        <v>0</v>
      </c>
      <c r="L25" s="567">
        <v>0</v>
      </c>
      <c r="M25" s="567">
        <v>0</v>
      </c>
      <c r="N25" s="567">
        <v>0</v>
      </c>
      <c r="O25" s="567">
        <v>0</v>
      </c>
      <c r="P25" s="567">
        <v>0</v>
      </c>
      <c r="Q25" s="567">
        <v>0</v>
      </c>
      <c r="R25" s="567">
        <v>0</v>
      </c>
      <c r="S25" s="567">
        <v>0</v>
      </c>
    </row>
    <row r="26" spans="1:19" ht="15">
      <c r="A26" s="5">
        <v>16</v>
      </c>
      <c r="B26" s="328" t="s">
        <v>885</v>
      </c>
      <c r="C26" s="567">
        <v>0</v>
      </c>
      <c r="D26" s="567">
        <v>0</v>
      </c>
      <c r="E26" s="567">
        <v>0</v>
      </c>
      <c r="F26" s="567">
        <v>0</v>
      </c>
      <c r="G26" s="567">
        <v>0</v>
      </c>
      <c r="H26" s="567">
        <v>0</v>
      </c>
      <c r="I26" s="567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7">
        <v>0</v>
      </c>
      <c r="P26" s="567">
        <v>0</v>
      </c>
      <c r="Q26" s="567">
        <v>0</v>
      </c>
      <c r="R26" s="567">
        <v>0</v>
      </c>
      <c r="S26" s="567">
        <v>0</v>
      </c>
    </row>
    <row r="27" spans="1:19" ht="15">
      <c r="A27" s="5">
        <v>17</v>
      </c>
      <c r="B27" s="328" t="s">
        <v>886</v>
      </c>
      <c r="C27" s="567">
        <v>0</v>
      </c>
      <c r="D27" s="567">
        <v>0</v>
      </c>
      <c r="E27" s="567">
        <v>0</v>
      </c>
      <c r="F27" s="567">
        <v>0</v>
      </c>
      <c r="G27" s="567">
        <v>0</v>
      </c>
      <c r="H27" s="567">
        <v>0</v>
      </c>
      <c r="I27" s="567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7">
        <v>0</v>
      </c>
      <c r="P27" s="567">
        <v>0</v>
      </c>
      <c r="Q27" s="567">
        <v>0</v>
      </c>
      <c r="R27" s="567">
        <v>0</v>
      </c>
      <c r="S27" s="567">
        <v>0</v>
      </c>
    </row>
    <row r="28" spans="1:19" ht="15">
      <c r="A28" s="5">
        <v>18</v>
      </c>
      <c r="B28" s="328" t="s">
        <v>887</v>
      </c>
      <c r="C28" s="567">
        <v>0</v>
      </c>
      <c r="D28" s="567">
        <v>0</v>
      </c>
      <c r="E28" s="567">
        <v>0</v>
      </c>
      <c r="F28" s="567">
        <v>0</v>
      </c>
      <c r="G28" s="567">
        <v>0</v>
      </c>
      <c r="H28" s="567">
        <v>0</v>
      </c>
      <c r="I28" s="567">
        <v>0</v>
      </c>
      <c r="J28" s="567">
        <v>0</v>
      </c>
      <c r="K28" s="567">
        <v>0</v>
      </c>
      <c r="L28" s="567">
        <v>0</v>
      </c>
      <c r="M28" s="567">
        <v>0</v>
      </c>
      <c r="N28" s="567">
        <v>0</v>
      </c>
      <c r="O28" s="567">
        <v>0</v>
      </c>
      <c r="P28" s="567">
        <v>0</v>
      </c>
      <c r="Q28" s="567">
        <v>0</v>
      </c>
      <c r="R28" s="567">
        <v>0</v>
      </c>
      <c r="S28" s="567">
        <v>0</v>
      </c>
    </row>
    <row r="29" spans="1:19" ht="15">
      <c r="A29" s="5">
        <v>19</v>
      </c>
      <c r="B29" s="328" t="s">
        <v>888</v>
      </c>
      <c r="C29" s="567">
        <v>0</v>
      </c>
      <c r="D29" s="567">
        <v>0</v>
      </c>
      <c r="E29" s="567">
        <v>0</v>
      </c>
      <c r="F29" s="567">
        <v>0</v>
      </c>
      <c r="G29" s="567">
        <v>0</v>
      </c>
      <c r="H29" s="567">
        <v>0</v>
      </c>
      <c r="I29" s="567">
        <v>0</v>
      </c>
      <c r="J29" s="567">
        <v>0</v>
      </c>
      <c r="K29" s="567">
        <v>0</v>
      </c>
      <c r="L29" s="567">
        <v>0</v>
      </c>
      <c r="M29" s="567">
        <v>0</v>
      </c>
      <c r="N29" s="567">
        <v>0</v>
      </c>
      <c r="O29" s="567">
        <v>0</v>
      </c>
      <c r="P29" s="567">
        <v>0</v>
      </c>
      <c r="Q29" s="567">
        <v>0</v>
      </c>
      <c r="R29" s="567">
        <v>0</v>
      </c>
      <c r="S29" s="567">
        <v>0</v>
      </c>
    </row>
    <row r="30" spans="1:19" ht="15">
      <c r="A30" s="5">
        <v>20</v>
      </c>
      <c r="B30" s="328" t="s">
        <v>889</v>
      </c>
      <c r="C30" s="567">
        <v>0</v>
      </c>
      <c r="D30" s="567">
        <v>0</v>
      </c>
      <c r="E30" s="567">
        <v>0</v>
      </c>
      <c r="F30" s="567">
        <v>0</v>
      </c>
      <c r="G30" s="567">
        <v>0</v>
      </c>
      <c r="H30" s="567">
        <v>0</v>
      </c>
      <c r="I30" s="567">
        <v>0</v>
      </c>
      <c r="J30" s="567">
        <v>0</v>
      </c>
      <c r="K30" s="567">
        <v>0</v>
      </c>
      <c r="L30" s="567">
        <v>0</v>
      </c>
      <c r="M30" s="567">
        <v>0</v>
      </c>
      <c r="N30" s="567">
        <v>0</v>
      </c>
      <c r="O30" s="567">
        <v>0</v>
      </c>
      <c r="P30" s="567">
        <v>0</v>
      </c>
      <c r="Q30" s="567">
        <v>0</v>
      </c>
      <c r="R30" s="567">
        <v>0</v>
      </c>
      <c r="S30" s="567">
        <v>0</v>
      </c>
    </row>
    <row r="31" spans="1:19" ht="15">
      <c r="A31" s="5">
        <v>21</v>
      </c>
      <c r="B31" s="328" t="s">
        <v>890</v>
      </c>
      <c r="C31" s="567">
        <v>0</v>
      </c>
      <c r="D31" s="567">
        <v>0</v>
      </c>
      <c r="E31" s="567">
        <v>0</v>
      </c>
      <c r="F31" s="567">
        <v>0</v>
      </c>
      <c r="G31" s="567">
        <v>0</v>
      </c>
      <c r="H31" s="567">
        <v>0</v>
      </c>
      <c r="I31" s="567">
        <v>0</v>
      </c>
      <c r="J31" s="567">
        <v>0</v>
      </c>
      <c r="K31" s="567">
        <v>0</v>
      </c>
      <c r="L31" s="567">
        <v>0</v>
      </c>
      <c r="M31" s="567">
        <v>0</v>
      </c>
      <c r="N31" s="567">
        <v>0</v>
      </c>
      <c r="O31" s="567">
        <v>0</v>
      </c>
      <c r="P31" s="567">
        <v>0</v>
      </c>
      <c r="Q31" s="567">
        <v>0</v>
      </c>
      <c r="R31" s="567">
        <v>0</v>
      </c>
      <c r="S31" s="567">
        <v>0</v>
      </c>
    </row>
    <row r="32" spans="1:19" ht="15">
      <c r="A32" s="5">
        <v>22</v>
      </c>
      <c r="B32" s="328" t="s">
        <v>891</v>
      </c>
      <c r="C32" s="567">
        <v>0</v>
      </c>
      <c r="D32" s="567">
        <v>0</v>
      </c>
      <c r="E32" s="567">
        <v>0</v>
      </c>
      <c r="F32" s="567">
        <v>0</v>
      </c>
      <c r="G32" s="567">
        <v>0</v>
      </c>
      <c r="H32" s="567">
        <v>0</v>
      </c>
      <c r="I32" s="567">
        <v>0</v>
      </c>
      <c r="J32" s="567">
        <v>0</v>
      </c>
      <c r="K32" s="567">
        <v>0</v>
      </c>
      <c r="L32" s="567">
        <v>0</v>
      </c>
      <c r="M32" s="567">
        <v>0</v>
      </c>
      <c r="N32" s="567">
        <v>0</v>
      </c>
      <c r="O32" s="567">
        <v>0</v>
      </c>
      <c r="P32" s="567">
        <v>0</v>
      </c>
      <c r="Q32" s="567">
        <v>0</v>
      </c>
      <c r="R32" s="567">
        <v>0</v>
      </c>
      <c r="S32" s="567">
        <v>0</v>
      </c>
    </row>
    <row r="33" spans="1:19" ht="15">
      <c r="A33" s="5">
        <v>23</v>
      </c>
      <c r="B33" s="328" t="s">
        <v>892</v>
      </c>
      <c r="C33" s="567">
        <v>0</v>
      </c>
      <c r="D33" s="567">
        <v>0</v>
      </c>
      <c r="E33" s="567">
        <v>0</v>
      </c>
      <c r="F33" s="567">
        <v>0</v>
      </c>
      <c r="G33" s="567">
        <v>0</v>
      </c>
      <c r="H33" s="567">
        <v>0</v>
      </c>
      <c r="I33" s="567">
        <v>0</v>
      </c>
      <c r="J33" s="567">
        <v>0</v>
      </c>
      <c r="K33" s="567">
        <v>0</v>
      </c>
      <c r="L33" s="567">
        <v>0</v>
      </c>
      <c r="M33" s="567">
        <v>0</v>
      </c>
      <c r="N33" s="567">
        <v>0</v>
      </c>
      <c r="O33" s="567">
        <v>0</v>
      </c>
      <c r="P33" s="567">
        <v>0</v>
      </c>
      <c r="Q33" s="567">
        <v>0</v>
      </c>
      <c r="R33" s="567">
        <v>0</v>
      </c>
      <c r="S33" s="567">
        <v>0</v>
      </c>
    </row>
    <row r="34" spans="1:19" ht="15">
      <c r="A34" s="5">
        <v>24</v>
      </c>
      <c r="B34" s="328" t="s">
        <v>893</v>
      </c>
      <c r="C34" s="567">
        <v>0</v>
      </c>
      <c r="D34" s="567">
        <v>0</v>
      </c>
      <c r="E34" s="567">
        <v>0</v>
      </c>
      <c r="F34" s="567">
        <v>0</v>
      </c>
      <c r="G34" s="567">
        <v>0</v>
      </c>
      <c r="H34" s="567">
        <v>0</v>
      </c>
      <c r="I34" s="567">
        <v>0</v>
      </c>
      <c r="J34" s="567">
        <v>0</v>
      </c>
      <c r="K34" s="567">
        <v>0</v>
      </c>
      <c r="L34" s="567">
        <v>0</v>
      </c>
      <c r="M34" s="567">
        <v>0</v>
      </c>
      <c r="N34" s="567">
        <v>0</v>
      </c>
      <c r="O34" s="567">
        <v>0</v>
      </c>
      <c r="P34" s="567">
        <v>0</v>
      </c>
      <c r="Q34" s="567">
        <v>0</v>
      </c>
      <c r="R34" s="567">
        <v>0</v>
      </c>
      <c r="S34" s="567">
        <v>0</v>
      </c>
    </row>
    <row r="35" spans="1:19" ht="15">
      <c r="A35" s="5">
        <v>25</v>
      </c>
      <c r="B35" s="328" t="s">
        <v>894</v>
      </c>
      <c r="C35" s="567">
        <v>0</v>
      </c>
      <c r="D35" s="567">
        <v>0</v>
      </c>
      <c r="E35" s="567">
        <v>0</v>
      </c>
      <c r="F35" s="567">
        <v>0</v>
      </c>
      <c r="G35" s="567">
        <v>0</v>
      </c>
      <c r="H35" s="567">
        <v>0</v>
      </c>
      <c r="I35" s="567">
        <v>0</v>
      </c>
      <c r="J35" s="567">
        <v>0</v>
      </c>
      <c r="K35" s="567">
        <v>0</v>
      </c>
      <c r="L35" s="567">
        <v>0</v>
      </c>
      <c r="M35" s="567">
        <v>0</v>
      </c>
      <c r="N35" s="567">
        <v>0</v>
      </c>
      <c r="O35" s="567">
        <v>0</v>
      </c>
      <c r="P35" s="567">
        <v>0</v>
      </c>
      <c r="Q35" s="567">
        <v>0</v>
      </c>
      <c r="R35" s="567">
        <v>0</v>
      </c>
      <c r="S35" s="567">
        <v>0</v>
      </c>
    </row>
    <row r="36" spans="1:19" ht="15">
      <c r="A36" s="5">
        <v>26</v>
      </c>
      <c r="B36" s="328" t="s">
        <v>895</v>
      </c>
      <c r="C36" s="567">
        <v>0</v>
      </c>
      <c r="D36" s="567">
        <v>0</v>
      </c>
      <c r="E36" s="567">
        <v>0</v>
      </c>
      <c r="F36" s="567">
        <v>0</v>
      </c>
      <c r="G36" s="567">
        <v>0</v>
      </c>
      <c r="H36" s="567">
        <v>0</v>
      </c>
      <c r="I36" s="567">
        <v>0</v>
      </c>
      <c r="J36" s="567">
        <v>0</v>
      </c>
      <c r="K36" s="567">
        <v>0</v>
      </c>
      <c r="L36" s="567">
        <v>0</v>
      </c>
      <c r="M36" s="567">
        <v>0</v>
      </c>
      <c r="N36" s="567">
        <v>0</v>
      </c>
      <c r="O36" s="567">
        <v>0</v>
      </c>
      <c r="P36" s="567">
        <v>0</v>
      </c>
      <c r="Q36" s="567">
        <v>0</v>
      </c>
      <c r="R36" s="567">
        <v>0</v>
      </c>
      <c r="S36" s="567">
        <v>0</v>
      </c>
    </row>
    <row r="37" spans="1:19" ht="15">
      <c r="A37" s="5">
        <v>27</v>
      </c>
      <c r="B37" s="328" t="s">
        <v>896</v>
      </c>
      <c r="C37" s="567">
        <v>0</v>
      </c>
      <c r="D37" s="567">
        <v>0</v>
      </c>
      <c r="E37" s="567">
        <v>0</v>
      </c>
      <c r="F37" s="567">
        <v>0</v>
      </c>
      <c r="G37" s="567">
        <v>0</v>
      </c>
      <c r="H37" s="567">
        <v>0</v>
      </c>
      <c r="I37" s="567">
        <v>0</v>
      </c>
      <c r="J37" s="567">
        <v>0</v>
      </c>
      <c r="K37" s="567">
        <v>0</v>
      </c>
      <c r="L37" s="567">
        <v>0</v>
      </c>
      <c r="M37" s="567">
        <v>0</v>
      </c>
      <c r="N37" s="567">
        <v>0</v>
      </c>
      <c r="O37" s="567">
        <v>0</v>
      </c>
      <c r="P37" s="567">
        <v>0</v>
      </c>
      <c r="Q37" s="567">
        <v>0</v>
      </c>
      <c r="R37" s="567">
        <v>0</v>
      </c>
      <c r="S37" s="567">
        <v>0</v>
      </c>
    </row>
    <row r="38" spans="1:19" ht="15">
      <c r="A38" s="5">
        <v>28</v>
      </c>
      <c r="B38" s="328" t="s">
        <v>897</v>
      </c>
      <c r="C38" s="567">
        <v>0</v>
      </c>
      <c r="D38" s="567">
        <v>0</v>
      </c>
      <c r="E38" s="567">
        <v>0</v>
      </c>
      <c r="F38" s="567">
        <v>0</v>
      </c>
      <c r="G38" s="567">
        <v>0</v>
      </c>
      <c r="H38" s="567">
        <v>0</v>
      </c>
      <c r="I38" s="567">
        <v>0</v>
      </c>
      <c r="J38" s="567">
        <v>0</v>
      </c>
      <c r="K38" s="567">
        <v>0</v>
      </c>
      <c r="L38" s="567">
        <v>0</v>
      </c>
      <c r="M38" s="567">
        <v>0</v>
      </c>
      <c r="N38" s="567">
        <v>0</v>
      </c>
      <c r="O38" s="567">
        <v>0</v>
      </c>
      <c r="P38" s="567">
        <v>0</v>
      </c>
      <c r="Q38" s="567">
        <v>0</v>
      </c>
      <c r="R38" s="567">
        <v>0</v>
      </c>
      <c r="S38" s="567">
        <v>0</v>
      </c>
    </row>
    <row r="39" spans="1:19" ht="15">
      <c r="A39" s="5">
        <v>29</v>
      </c>
      <c r="B39" s="328" t="s">
        <v>898</v>
      </c>
      <c r="C39" s="567">
        <v>0</v>
      </c>
      <c r="D39" s="567">
        <v>0</v>
      </c>
      <c r="E39" s="567">
        <v>0</v>
      </c>
      <c r="F39" s="567">
        <v>0</v>
      </c>
      <c r="G39" s="567">
        <v>0</v>
      </c>
      <c r="H39" s="567">
        <v>0</v>
      </c>
      <c r="I39" s="567">
        <v>0</v>
      </c>
      <c r="J39" s="567">
        <v>0</v>
      </c>
      <c r="K39" s="567">
        <v>0</v>
      </c>
      <c r="L39" s="567">
        <v>0</v>
      </c>
      <c r="M39" s="567">
        <v>0</v>
      </c>
      <c r="N39" s="567">
        <v>0</v>
      </c>
      <c r="O39" s="567">
        <v>0</v>
      </c>
      <c r="P39" s="567">
        <v>0</v>
      </c>
      <c r="Q39" s="567">
        <v>0</v>
      </c>
      <c r="R39" s="567">
        <v>0</v>
      </c>
      <c r="S39" s="567">
        <v>0</v>
      </c>
    </row>
    <row r="40" spans="1:19" ht="15">
      <c r="A40" s="5">
        <v>30</v>
      </c>
      <c r="B40" s="328" t="s">
        <v>899</v>
      </c>
      <c r="C40" s="567">
        <v>0</v>
      </c>
      <c r="D40" s="567">
        <v>0</v>
      </c>
      <c r="E40" s="567">
        <v>0</v>
      </c>
      <c r="F40" s="567">
        <v>0</v>
      </c>
      <c r="G40" s="567">
        <v>0</v>
      </c>
      <c r="H40" s="567">
        <v>0</v>
      </c>
      <c r="I40" s="567">
        <v>0</v>
      </c>
      <c r="J40" s="567">
        <v>0</v>
      </c>
      <c r="K40" s="567">
        <v>0</v>
      </c>
      <c r="L40" s="567">
        <v>0</v>
      </c>
      <c r="M40" s="567">
        <v>0</v>
      </c>
      <c r="N40" s="567">
        <v>0</v>
      </c>
      <c r="O40" s="567">
        <v>0</v>
      </c>
      <c r="P40" s="567">
        <v>0</v>
      </c>
      <c r="Q40" s="567">
        <v>0</v>
      </c>
      <c r="R40" s="567">
        <v>0</v>
      </c>
      <c r="S40" s="567">
        <v>0</v>
      </c>
    </row>
    <row r="41" spans="1:19" ht="15">
      <c r="A41" s="5">
        <v>31</v>
      </c>
      <c r="B41" s="328" t="s">
        <v>900</v>
      </c>
      <c r="C41" s="567">
        <v>0</v>
      </c>
      <c r="D41" s="567">
        <v>0</v>
      </c>
      <c r="E41" s="567">
        <v>0</v>
      </c>
      <c r="F41" s="567">
        <v>0</v>
      </c>
      <c r="G41" s="567">
        <v>0</v>
      </c>
      <c r="H41" s="567">
        <v>0</v>
      </c>
      <c r="I41" s="567">
        <v>0</v>
      </c>
      <c r="J41" s="567">
        <v>0</v>
      </c>
      <c r="K41" s="567">
        <v>0</v>
      </c>
      <c r="L41" s="567">
        <v>0</v>
      </c>
      <c r="M41" s="567">
        <v>0</v>
      </c>
      <c r="N41" s="567">
        <v>0</v>
      </c>
      <c r="O41" s="567">
        <v>0</v>
      </c>
      <c r="P41" s="567">
        <v>0</v>
      </c>
      <c r="Q41" s="567">
        <v>0</v>
      </c>
      <c r="R41" s="567">
        <v>0</v>
      </c>
      <c r="S41" s="567">
        <v>0</v>
      </c>
    </row>
    <row r="42" spans="1:19" ht="15">
      <c r="A42" s="5">
        <v>32</v>
      </c>
      <c r="B42" s="328" t="s">
        <v>901</v>
      </c>
      <c r="C42" s="567">
        <v>0</v>
      </c>
      <c r="D42" s="567">
        <v>0</v>
      </c>
      <c r="E42" s="567">
        <v>0</v>
      </c>
      <c r="F42" s="567">
        <v>0</v>
      </c>
      <c r="G42" s="567">
        <v>0</v>
      </c>
      <c r="H42" s="567">
        <v>0</v>
      </c>
      <c r="I42" s="567">
        <v>0</v>
      </c>
      <c r="J42" s="567">
        <v>0</v>
      </c>
      <c r="K42" s="567">
        <v>0</v>
      </c>
      <c r="L42" s="567">
        <v>0</v>
      </c>
      <c r="M42" s="567">
        <v>0</v>
      </c>
      <c r="N42" s="567">
        <v>0</v>
      </c>
      <c r="O42" s="567">
        <v>0</v>
      </c>
      <c r="P42" s="567">
        <v>0</v>
      </c>
      <c r="Q42" s="567">
        <v>0</v>
      </c>
      <c r="R42" s="567">
        <v>0</v>
      </c>
      <c r="S42" s="567">
        <v>0</v>
      </c>
    </row>
    <row r="43" spans="1:19" ht="15">
      <c r="A43" s="5">
        <v>33</v>
      </c>
      <c r="B43" s="328" t="s">
        <v>902</v>
      </c>
      <c r="C43" s="567">
        <v>0</v>
      </c>
      <c r="D43" s="567">
        <v>0</v>
      </c>
      <c r="E43" s="567">
        <v>0</v>
      </c>
      <c r="F43" s="567">
        <v>0</v>
      </c>
      <c r="G43" s="567">
        <v>0</v>
      </c>
      <c r="H43" s="567">
        <v>0</v>
      </c>
      <c r="I43" s="567">
        <v>0</v>
      </c>
      <c r="J43" s="567">
        <v>0</v>
      </c>
      <c r="K43" s="567">
        <v>0</v>
      </c>
      <c r="L43" s="567">
        <v>0</v>
      </c>
      <c r="M43" s="567">
        <v>0</v>
      </c>
      <c r="N43" s="567">
        <v>0</v>
      </c>
      <c r="O43" s="567">
        <v>0</v>
      </c>
      <c r="P43" s="567">
        <v>0</v>
      </c>
      <c r="Q43" s="567">
        <v>0</v>
      </c>
      <c r="R43" s="567">
        <v>0</v>
      </c>
      <c r="S43" s="567">
        <v>0</v>
      </c>
    </row>
    <row r="44" spans="1:19" ht="15">
      <c r="A44" s="5">
        <v>34</v>
      </c>
      <c r="B44" s="328" t="s">
        <v>903</v>
      </c>
      <c r="C44" s="567">
        <v>0</v>
      </c>
      <c r="D44" s="567">
        <v>0</v>
      </c>
      <c r="E44" s="567">
        <v>0</v>
      </c>
      <c r="F44" s="567">
        <v>0</v>
      </c>
      <c r="G44" s="567">
        <v>0</v>
      </c>
      <c r="H44" s="567">
        <v>0</v>
      </c>
      <c r="I44" s="567">
        <v>0</v>
      </c>
      <c r="J44" s="567">
        <v>0</v>
      </c>
      <c r="K44" s="567">
        <v>0</v>
      </c>
      <c r="L44" s="567">
        <v>0</v>
      </c>
      <c r="M44" s="567">
        <v>0</v>
      </c>
      <c r="N44" s="567">
        <v>0</v>
      </c>
      <c r="O44" s="567">
        <v>0</v>
      </c>
      <c r="P44" s="567">
        <v>0</v>
      </c>
      <c r="Q44" s="567">
        <v>0</v>
      </c>
      <c r="R44" s="567">
        <v>0</v>
      </c>
      <c r="S44" s="567">
        <v>0</v>
      </c>
    </row>
    <row r="45" spans="1:19" ht="15">
      <c r="A45" s="5">
        <v>35</v>
      </c>
      <c r="B45" s="328" t="s">
        <v>904</v>
      </c>
      <c r="C45" s="568">
        <v>0</v>
      </c>
      <c r="D45" s="568">
        <v>0</v>
      </c>
      <c r="E45" s="568">
        <v>0</v>
      </c>
      <c r="F45" s="568">
        <v>0</v>
      </c>
      <c r="G45" s="568">
        <v>0</v>
      </c>
      <c r="H45" s="568">
        <v>0</v>
      </c>
      <c r="I45" s="568">
        <v>0</v>
      </c>
      <c r="J45" s="568">
        <v>0</v>
      </c>
      <c r="K45" s="568">
        <v>0</v>
      </c>
      <c r="L45" s="568">
        <v>0</v>
      </c>
      <c r="M45" s="568">
        <v>0</v>
      </c>
      <c r="N45" s="568">
        <v>0</v>
      </c>
      <c r="O45" s="568">
        <v>0</v>
      </c>
      <c r="P45" s="568">
        <v>0</v>
      </c>
      <c r="Q45" s="568">
        <v>0</v>
      </c>
      <c r="R45" s="568">
        <v>0</v>
      </c>
      <c r="S45" s="568">
        <v>0</v>
      </c>
    </row>
    <row r="46" spans="1:19" ht="15">
      <c r="A46" s="281" t="s">
        <v>19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1:19" ht="15">
      <c r="A47" s="282" t="s">
        <v>506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</row>
    <row r="48" spans="1:19" s="16" customFormat="1" ht="12.75">
      <c r="A48" s="15" t="s">
        <v>12</v>
      </c>
      <c r="G48" s="15"/>
      <c r="H48" s="15"/>
      <c r="K48" s="15"/>
      <c r="L48" s="15"/>
      <c r="M48" s="15"/>
      <c r="N48" s="15"/>
      <c r="O48" s="15"/>
      <c r="P48" s="15"/>
      <c r="Q48" s="15"/>
      <c r="R48" s="748"/>
      <c r="S48" s="748"/>
    </row>
    <row r="49" spans="8:19" s="16" customFormat="1" ht="12.75" customHeight="1">
      <c r="H49" s="748" t="s">
        <v>1021</v>
      </c>
      <c r="I49" s="748"/>
      <c r="J49" s="748"/>
      <c r="K49" s="83"/>
      <c r="N49" s="36"/>
      <c r="O49" s="36"/>
      <c r="P49" s="748" t="s">
        <v>1024</v>
      </c>
      <c r="Q49" s="748"/>
      <c r="R49" s="748"/>
      <c r="S49" s="748"/>
    </row>
    <row r="50" spans="8:19" s="16" customFormat="1" ht="12.75" customHeight="1">
      <c r="H50" s="748" t="s">
        <v>1022</v>
      </c>
      <c r="I50" s="748"/>
      <c r="J50" s="748"/>
      <c r="K50" s="83"/>
      <c r="N50" s="36"/>
      <c r="O50" s="36"/>
      <c r="P50" s="748" t="s">
        <v>1025</v>
      </c>
      <c r="Q50" s="748"/>
      <c r="R50" s="748"/>
      <c r="S50" s="748"/>
    </row>
    <row r="51" spans="1:19" s="16" customFormat="1" ht="12.75">
      <c r="A51" s="15"/>
      <c r="B51" s="15"/>
      <c r="H51" s="735" t="s">
        <v>1023</v>
      </c>
      <c r="I51" s="735"/>
      <c r="J51" s="735"/>
      <c r="K51" s="36"/>
      <c r="N51" s="15"/>
      <c r="O51" s="15"/>
      <c r="P51" s="735" t="s">
        <v>1023</v>
      </c>
      <c r="Q51" s="735"/>
      <c r="R51" s="735"/>
      <c r="S51" s="735"/>
    </row>
    <row r="52" spans="8:13" ht="15">
      <c r="H52"/>
      <c r="I52"/>
      <c r="J52"/>
      <c r="K52"/>
      <c r="L52"/>
      <c r="M52"/>
    </row>
  </sheetData>
  <sheetProtection/>
  <mergeCells count="16">
    <mergeCell ref="A8:A9"/>
    <mergeCell ref="B8:B9"/>
    <mergeCell ref="C8:F8"/>
    <mergeCell ref="G8:J8"/>
    <mergeCell ref="K8:N8"/>
    <mergeCell ref="S8:S9"/>
    <mergeCell ref="O8:R8"/>
    <mergeCell ref="H50:J50"/>
    <mergeCell ref="H51:J51"/>
    <mergeCell ref="Q1:R1"/>
    <mergeCell ref="R48:S48"/>
    <mergeCell ref="G2:M2"/>
    <mergeCell ref="P49:S49"/>
    <mergeCell ref="P50:S50"/>
    <mergeCell ref="H49:J49"/>
    <mergeCell ref="P51:S51"/>
  </mergeCells>
  <printOptions horizontalCentered="1"/>
  <pageMargins left="0.7086614173228347" right="0.7086614173228347" top="0.41" bottom="0" header="0.31496062992125984" footer="0.31496062992125984"/>
  <pageSetup fitToHeight="1" fitToWidth="1" horizontalDpi="600" verticalDpi="600" orientation="landscape" paperSize="9" scale="5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7" sqref="H7"/>
    </sheetView>
  </sheetViews>
  <sheetFormatPr defaultColWidth="9.140625" defaultRowHeight="12.75"/>
  <cols>
    <col min="1" max="1" width="7.28125" style="75" customWidth="1"/>
    <col min="2" max="2" width="11.57421875" style="75" customWidth="1"/>
    <col min="3" max="3" width="5.140625" style="75" bestFit="1" customWidth="1"/>
    <col min="4" max="4" width="6.8515625" style="75" customWidth="1"/>
    <col min="5" max="5" width="8.28125" style="75" customWidth="1"/>
    <col min="6" max="6" width="7.28125" style="75" bestFit="1" customWidth="1"/>
    <col min="7" max="7" width="7.421875" style="75" customWidth="1"/>
    <col min="8" max="8" width="7.00390625" style="75" customWidth="1"/>
    <col min="9" max="9" width="5.140625" style="75" bestFit="1" customWidth="1"/>
    <col min="10" max="10" width="7.140625" style="75" customWidth="1"/>
    <col min="11" max="11" width="6.8515625" style="75" customWidth="1"/>
    <col min="12" max="12" width="7.28125" style="75" bestFit="1" customWidth="1"/>
    <col min="13" max="14" width="6.8515625" style="75" customWidth="1"/>
    <col min="15" max="16" width="5.140625" style="75" bestFit="1" customWidth="1"/>
    <col min="17" max="17" width="5.00390625" style="75" bestFit="1" customWidth="1"/>
    <col min="18" max="18" width="7.28125" style="75" bestFit="1" customWidth="1"/>
    <col min="19" max="19" width="7.421875" style="75" customWidth="1"/>
    <col min="20" max="20" width="5.00390625" style="75" bestFit="1" customWidth="1"/>
    <col min="21" max="21" width="5.140625" style="75" bestFit="1" customWidth="1"/>
    <col min="22" max="22" width="5.7109375" style="75" customWidth="1"/>
    <col min="23" max="23" width="5.00390625" style="75" bestFit="1" customWidth="1"/>
    <col min="24" max="24" width="7.28125" style="75" bestFit="1" customWidth="1"/>
    <col min="25" max="25" width="8.28125" style="75" bestFit="1" customWidth="1"/>
    <col min="26" max="26" width="4.7109375" style="75" bestFit="1" customWidth="1"/>
    <col min="27" max="27" width="6.57421875" style="75" bestFit="1" customWidth="1"/>
    <col min="28" max="29" width="7.140625" style="75" customWidth="1"/>
    <col min="30" max="31" width="6.28125" style="75" customWidth="1"/>
    <col min="32" max="32" width="8.28125" style="75" customWidth="1"/>
    <col min="33" max="16384" width="9.140625" style="75" customWidth="1"/>
  </cols>
  <sheetData>
    <row r="1" spans="1:32" s="666" customFormat="1" ht="12">
      <c r="A1" s="673" t="s">
        <v>1020</v>
      </c>
      <c r="B1" s="673"/>
      <c r="C1" s="674"/>
      <c r="D1" s="675"/>
      <c r="E1" s="675"/>
      <c r="F1" s="675"/>
      <c r="G1" s="675"/>
      <c r="H1" s="675"/>
      <c r="I1" s="675"/>
      <c r="J1" s="675"/>
      <c r="K1" s="676" t="s">
        <v>0</v>
      </c>
      <c r="L1" s="676"/>
      <c r="M1" s="676"/>
      <c r="N1" s="675"/>
      <c r="AA1" s="677"/>
      <c r="AB1" s="677"/>
      <c r="AC1" s="677"/>
      <c r="AD1" s="677"/>
      <c r="AE1" s="1055" t="s">
        <v>558</v>
      </c>
      <c r="AF1" s="1055"/>
    </row>
    <row r="2" spans="5:22" s="666" customFormat="1" ht="12">
      <c r="E2" s="1056" t="s">
        <v>656</v>
      </c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</row>
    <row r="3" spans="10:22" s="666" customFormat="1" ht="12"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</row>
    <row r="4" spans="3:32" s="678" customFormat="1" ht="12">
      <c r="C4" s="1057" t="s">
        <v>743</v>
      </c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679"/>
      <c r="Y4" s="679"/>
      <c r="Z4" s="680"/>
      <c r="AA4" s="680"/>
      <c r="AB4" s="680"/>
      <c r="AC4" s="680"/>
      <c r="AD4" s="680"/>
      <c r="AE4" s="680"/>
      <c r="AF4" s="676"/>
    </row>
    <row r="5" spans="3:32" s="678" customFormat="1" ht="12">
      <c r="C5" s="681"/>
      <c r="D5" s="681"/>
      <c r="E5" s="681"/>
      <c r="F5" s="681"/>
      <c r="G5" s="681"/>
      <c r="H5" s="681"/>
      <c r="I5" s="681"/>
      <c r="J5" s="681"/>
      <c r="Q5" s="681"/>
      <c r="R5" s="681"/>
      <c r="S5" s="681"/>
      <c r="T5" s="681"/>
      <c r="U5" s="681"/>
      <c r="V5" s="681"/>
      <c r="W5" s="681"/>
      <c r="X5" s="681"/>
      <c r="Y5" s="681"/>
      <c r="Z5" s="681"/>
      <c r="AA5" s="681"/>
      <c r="AB5" s="681"/>
      <c r="AC5" s="681"/>
      <c r="AD5" s="681"/>
      <c r="AE5" s="681"/>
      <c r="AF5" s="681"/>
    </row>
    <row r="6" spans="1:2" s="678" customFormat="1" ht="12">
      <c r="A6" s="682" t="s">
        <v>164</v>
      </c>
      <c r="B6" s="683"/>
    </row>
    <row r="7" s="678" customFormat="1" ht="12">
      <c r="B7" s="684"/>
    </row>
    <row r="8" spans="1:32" s="682" customFormat="1" ht="12">
      <c r="A8" s="1058" t="s">
        <v>2</v>
      </c>
      <c r="B8" s="1059" t="s">
        <v>3</v>
      </c>
      <c r="C8" s="1061" t="s">
        <v>109</v>
      </c>
      <c r="D8" s="1061"/>
      <c r="E8" s="1061"/>
      <c r="F8" s="1061"/>
      <c r="G8" s="1061"/>
      <c r="H8" s="1061"/>
      <c r="I8" s="1062" t="s">
        <v>699</v>
      </c>
      <c r="J8" s="1063"/>
      <c r="K8" s="1063"/>
      <c r="L8" s="1063"/>
      <c r="M8" s="1063"/>
      <c r="N8" s="1064"/>
      <c r="O8" s="1062" t="s">
        <v>198</v>
      </c>
      <c r="P8" s="1063"/>
      <c r="Q8" s="1063"/>
      <c r="R8" s="1063"/>
      <c r="S8" s="1063"/>
      <c r="T8" s="1064"/>
      <c r="U8" s="1061" t="s">
        <v>108</v>
      </c>
      <c r="V8" s="1061"/>
      <c r="W8" s="1061"/>
      <c r="X8" s="1061"/>
      <c r="Y8" s="1061"/>
      <c r="Z8" s="1061"/>
      <c r="AA8" s="1052" t="s">
        <v>239</v>
      </c>
      <c r="AB8" s="1053"/>
      <c r="AC8" s="1053"/>
      <c r="AD8" s="1053"/>
      <c r="AE8" s="1053"/>
      <c r="AF8" s="1054"/>
    </row>
    <row r="9" spans="1:32" s="686" customFormat="1" ht="61.5" customHeight="1">
      <c r="A9" s="1058"/>
      <c r="B9" s="1060"/>
      <c r="C9" s="685" t="s">
        <v>93</v>
      </c>
      <c r="D9" s="685" t="s">
        <v>97</v>
      </c>
      <c r="E9" s="685" t="s">
        <v>98</v>
      </c>
      <c r="F9" s="685" t="s">
        <v>369</v>
      </c>
      <c r="G9" s="685" t="s">
        <v>240</v>
      </c>
      <c r="H9" s="685" t="s">
        <v>19</v>
      </c>
      <c r="I9" s="685" t="s">
        <v>93</v>
      </c>
      <c r="J9" s="685" t="s">
        <v>97</v>
      </c>
      <c r="K9" s="685" t="s">
        <v>98</v>
      </c>
      <c r="L9" s="685" t="s">
        <v>369</v>
      </c>
      <c r="M9" s="685" t="s">
        <v>240</v>
      </c>
      <c r="N9" s="685" t="s">
        <v>19</v>
      </c>
      <c r="O9" s="685" t="s">
        <v>93</v>
      </c>
      <c r="P9" s="685" t="s">
        <v>97</v>
      </c>
      <c r="Q9" s="685" t="s">
        <v>98</v>
      </c>
      <c r="R9" s="685" t="s">
        <v>369</v>
      </c>
      <c r="S9" s="685" t="s">
        <v>240</v>
      </c>
      <c r="T9" s="685" t="s">
        <v>19</v>
      </c>
      <c r="U9" s="685" t="s">
        <v>241</v>
      </c>
      <c r="V9" s="685" t="s">
        <v>242</v>
      </c>
      <c r="W9" s="685" t="s">
        <v>243</v>
      </c>
      <c r="X9" s="685" t="s">
        <v>369</v>
      </c>
      <c r="Y9" s="685" t="s">
        <v>240</v>
      </c>
      <c r="Z9" s="685" t="s">
        <v>90</v>
      </c>
      <c r="AA9" s="685" t="s">
        <v>93</v>
      </c>
      <c r="AB9" s="685" t="s">
        <v>97</v>
      </c>
      <c r="AC9" s="685" t="s">
        <v>243</v>
      </c>
      <c r="AD9" s="685" t="s">
        <v>369</v>
      </c>
      <c r="AE9" s="685" t="s">
        <v>240</v>
      </c>
      <c r="AF9" s="685" t="s">
        <v>19</v>
      </c>
    </row>
    <row r="10" spans="1:32" s="690" customFormat="1" ht="15.75" customHeight="1">
      <c r="A10" s="687">
        <v>1</v>
      </c>
      <c r="B10" s="688">
        <v>2</v>
      </c>
      <c r="C10" s="688">
        <v>3</v>
      </c>
      <c r="D10" s="689">
        <v>4</v>
      </c>
      <c r="E10" s="689">
        <v>5</v>
      </c>
      <c r="F10" s="689">
        <v>6</v>
      </c>
      <c r="G10" s="689">
        <v>7</v>
      </c>
      <c r="H10" s="689">
        <v>9</v>
      </c>
      <c r="I10" s="689">
        <v>10</v>
      </c>
      <c r="J10" s="689">
        <v>11</v>
      </c>
      <c r="K10" s="689">
        <v>12</v>
      </c>
      <c r="L10" s="689">
        <v>13</v>
      </c>
      <c r="M10" s="689">
        <v>14</v>
      </c>
      <c r="N10" s="689">
        <v>16</v>
      </c>
      <c r="O10" s="689">
        <v>17</v>
      </c>
      <c r="P10" s="689">
        <v>18</v>
      </c>
      <c r="Q10" s="689">
        <v>19</v>
      </c>
      <c r="R10" s="689">
        <v>20</v>
      </c>
      <c r="S10" s="689">
        <v>21</v>
      </c>
      <c r="T10" s="689">
        <v>23</v>
      </c>
      <c r="U10" s="689">
        <v>24</v>
      </c>
      <c r="V10" s="689">
        <v>25</v>
      </c>
      <c r="W10" s="689">
        <v>26</v>
      </c>
      <c r="X10" s="689">
        <v>27</v>
      </c>
      <c r="Y10" s="689">
        <v>28</v>
      </c>
      <c r="Z10" s="689">
        <v>30</v>
      </c>
      <c r="AA10" s="689">
        <v>31</v>
      </c>
      <c r="AB10" s="689">
        <v>32</v>
      </c>
      <c r="AC10" s="689">
        <v>33</v>
      </c>
      <c r="AD10" s="689">
        <v>34</v>
      </c>
      <c r="AE10" s="689">
        <v>35</v>
      </c>
      <c r="AF10" s="689">
        <v>37</v>
      </c>
    </row>
    <row r="11" spans="1:32" ht="15">
      <c r="A11" s="112">
        <v>1</v>
      </c>
      <c r="B11" s="328" t="s">
        <v>870</v>
      </c>
      <c r="C11" s="81">
        <v>3</v>
      </c>
      <c r="D11" s="81">
        <v>881</v>
      </c>
      <c r="E11" s="81">
        <v>3654</v>
      </c>
      <c r="F11" s="81">
        <v>0</v>
      </c>
      <c r="G11" s="81">
        <v>0</v>
      </c>
      <c r="H11" s="81">
        <v>4538</v>
      </c>
      <c r="I11" s="81">
        <v>3</v>
      </c>
      <c r="J11" s="81">
        <v>3645</v>
      </c>
      <c r="K11" s="81">
        <v>3180</v>
      </c>
      <c r="L11" s="81">
        <v>0</v>
      </c>
      <c r="M11" s="81">
        <v>0</v>
      </c>
      <c r="N11" s="329">
        <v>6828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592">
        <v>3</v>
      </c>
      <c r="AB11" s="81">
        <v>561</v>
      </c>
      <c r="AC11" s="81">
        <v>1710</v>
      </c>
      <c r="AD11" s="593">
        <v>0</v>
      </c>
      <c r="AE11" s="81">
        <v>0</v>
      </c>
      <c r="AF11" s="81">
        <v>2274</v>
      </c>
    </row>
    <row r="12" spans="1:32" ht="15">
      <c r="A12" s="112">
        <v>2</v>
      </c>
      <c r="B12" s="328" t="s">
        <v>871</v>
      </c>
      <c r="C12" s="81">
        <v>1</v>
      </c>
      <c r="D12" s="81">
        <v>414</v>
      </c>
      <c r="E12" s="81">
        <v>1015</v>
      </c>
      <c r="F12" s="81">
        <v>0</v>
      </c>
      <c r="G12" s="81">
        <v>0</v>
      </c>
      <c r="H12" s="81">
        <v>1430</v>
      </c>
      <c r="I12" s="81">
        <v>0</v>
      </c>
      <c r="J12" s="81">
        <v>290</v>
      </c>
      <c r="K12" s="81">
        <v>2701</v>
      </c>
      <c r="L12" s="81">
        <v>0</v>
      </c>
      <c r="M12" s="81">
        <v>0</v>
      </c>
      <c r="N12" s="329">
        <v>2991</v>
      </c>
      <c r="O12" s="81">
        <v>0</v>
      </c>
      <c r="P12" s="81">
        <v>405</v>
      </c>
      <c r="Q12" s="81">
        <v>60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592">
        <v>0</v>
      </c>
      <c r="AB12" s="81">
        <v>239</v>
      </c>
      <c r="AC12" s="81">
        <v>562</v>
      </c>
      <c r="AD12" s="593">
        <v>0</v>
      </c>
      <c r="AE12" s="81">
        <v>0</v>
      </c>
      <c r="AF12" s="81">
        <v>801</v>
      </c>
    </row>
    <row r="13" spans="1:32" ht="15">
      <c r="A13" s="112">
        <v>3</v>
      </c>
      <c r="B13" s="328" t="s">
        <v>872</v>
      </c>
      <c r="C13" s="81">
        <v>2</v>
      </c>
      <c r="D13" s="81">
        <v>644</v>
      </c>
      <c r="E13" s="81">
        <v>1725</v>
      </c>
      <c r="F13" s="81">
        <v>0</v>
      </c>
      <c r="G13" s="81">
        <v>0</v>
      </c>
      <c r="H13" s="81">
        <v>2401</v>
      </c>
      <c r="I13" s="81">
        <v>2</v>
      </c>
      <c r="J13" s="81">
        <v>243</v>
      </c>
      <c r="K13" s="81">
        <v>4676</v>
      </c>
      <c r="L13" s="81">
        <v>0</v>
      </c>
      <c r="M13" s="81">
        <v>0</v>
      </c>
      <c r="N13" s="329">
        <v>4921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592">
        <v>0</v>
      </c>
      <c r="AB13" s="81">
        <v>392</v>
      </c>
      <c r="AC13" s="81">
        <v>992</v>
      </c>
      <c r="AD13" s="593">
        <v>0</v>
      </c>
      <c r="AE13" s="81">
        <v>0</v>
      </c>
      <c r="AF13" s="81">
        <v>1384</v>
      </c>
    </row>
    <row r="14" spans="1:32" ht="15">
      <c r="A14" s="112">
        <v>4</v>
      </c>
      <c r="B14" s="328" t="s">
        <v>873</v>
      </c>
      <c r="C14" s="81">
        <v>0</v>
      </c>
      <c r="D14" s="81">
        <v>828</v>
      </c>
      <c r="E14" s="81">
        <v>2153</v>
      </c>
      <c r="F14" s="81">
        <v>0</v>
      </c>
      <c r="G14" s="81">
        <v>0</v>
      </c>
      <c r="H14" s="81">
        <v>2981</v>
      </c>
      <c r="I14" s="81">
        <v>0</v>
      </c>
      <c r="J14" s="81">
        <v>0</v>
      </c>
      <c r="K14" s="81">
        <v>3482</v>
      </c>
      <c r="L14" s="81">
        <v>0</v>
      </c>
      <c r="M14" s="81">
        <v>0</v>
      </c>
      <c r="N14" s="329">
        <v>3482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1">
        <v>0</v>
      </c>
      <c r="Y14" s="81">
        <v>0</v>
      </c>
      <c r="Z14" s="81">
        <v>0</v>
      </c>
      <c r="AA14" s="592">
        <v>0</v>
      </c>
      <c r="AB14" s="81">
        <v>667</v>
      </c>
      <c r="AC14" s="81">
        <v>1202</v>
      </c>
      <c r="AD14" s="593">
        <v>0</v>
      </c>
      <c r="AE14" s="81">
        <v>0</v>
      </c>
      <c r="AF14" s="81">
        <v>1869</v>
      </c>
    </row>
    <row r="15" spans="1:32" ht="15">
      <c r="A15" s="112">
        <v>5</v>
      </c>
      <c r="B15" s="328" t="s">
        <v>874</v>
      </c>
      <c r="C15" s="81">
        <v>0</v>
      </c>
      <c r="D15" s="81">
        <v>674</v>
      </c>
      <c r="E15" s="81">
        <v>2527</v>
      </c>
      <c r="F15" s="81">
        <v>23</v>
      </c>
      <c r="G15" s="81">
        <v>0</v>
      </c>
      <c r="H15" s="81">
        <v>3224</v>
      </c>
      <c r="I15" s="81"/>
      <c r="J15" s="81"/>
      <c r="K15" s="81">
        <v>5175</v>
      </c>
      <c r="L15" s="81"/>
      <c r="M15" s="81"/>
      <c r="N15" s="329">
        <v>5175</v>
      </c>
      <c r="O15" s="81"/>
      <c r="P15" s="81"/>
      <c r="Q15" s="81"/>
      <c r="R15" s="81"/>
      <c r="S15" s="81"/>
      <c r="T15" s="81"/>
      <c r="U15" s="81"/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592"/>
      <c r="AB15" s="81">
        <v>442</v>
      </c>
      <c r="AC15" s="81">
        <v>1089</v>
      </c>
      <c r="AD15" s="593"/>
      <c r="AE15" s="81"/>
      <c r="AF15" s="81">
        <v>1531</v>
      </c>
    </row>
    <row r="16" spans="1:32" ht="15">
      <c r="A16" s="112">
        <v>6</v>
      </c>
      <c r="B16" s="328" t="s">
        <v>875</v>
      </c>
      <c r="C16" s="81"/>
      <c r="D16" s="81">
        <v>309</v>
      </c>
      <c r="E16" s="81">
        <v>823</v>
      </c>
      <c r="F16" s="81">
        <v>0</v>
      </c>
      <c r="G16" s="81">
        <v>0</v>
      </c>
      <c r="H16" s="81">
        <v>1132</v>
      </c>
      <c r="I16" s="81"/>
      <c r="J16" s="81"/>
      <c r="K16" s="81">
        <v>2537</v>
      </c>
      <c r="L16" s="81"/>
      <c r="M16" s="81"/>
      <c r="N16" s="329">
        <v>2537</v>
      </c>
      <c r="O16" s="81"/>
      <c r="P16" s="81"/>
      <c r="Q16" s="81"/>
      <c r="R16" s="81"/>
      <c r="S16" s="81"/>
      <c r="T16" s="81"/>
      <c r="U16" s="81"/>
      <c r="V16" s="81">
        <v>0</v>
      </c>
      <c r="W16" s="81">
        <v>0</v>
      </c>
      <c r="X16" s="81">
        <v>0</v>
      </c>
      <c r="Y16" s="81">
        <v>0</v>
      </c>
      <c r="Z16" s="81">
        <v>0</v>
      </c>
      <c r="AA16" s="592"/>
      <c r="AB16" s="81">
        <v>190</v>
      </c>
      <c r="AC16" s="81">
        <v>456</v>
      </c>
      <c r="AD16" s="593"/>
      <c r="AE16" s="81"/>
      <c r="AF16" s="81">
        <v>646</v>
      </c>
    </row>
    <row r="17" spans="1:32" ht="15">
      <c r="A17" s="112">
        <v>7</v>
      </c>
      <c r="B17" s="328" t="s">
        <v>876</v>
      </c>
      <c r="C17" s="81">
        <v>0</v>
      </c>
      <c r="D17" s="81">
        <v>456</v>
      </c>
      <c r="E17" s="81">
        <v>1557</v>
      </c>
      <c r="F17" s="81">
        <v>0</v>
      </c>
      <c r="G17" s="81">
        <v>0</v>
      </c>
      <c r="H17" s="81">
        <v>2013</v>
      </c>
      <c r="I17" s="81">
        <v>0</v>
      </c>
      <c r="J17" s="81">
        <v>0</v>
      </c>
      <c r="K17" s="81">
        <v>3863</v>
      </c>
      <c r="L17" s="81">
        <v>0</v>
      </c>
      <c r="M17" s="81">
        <v>0</v>
      </c>
      <c r="N17" s="379">
        <v>3863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  <c r="AA17" s="592">
        <v>0</v>
      </c>
      <c r="AB17" s="81">
        <v>260</v>
      </c>
      <c r="AC17" s="81">
        <v>868</v>
      </c>
      <c r="AD17" s="593">
        <v>0</v>
      </c>
      <c r="AE17" s="81">
        <v>0</v>
      </c>
      <c r="AF17" s="81">
        <v>1128</v>
      </c>
    </row>
    <row r="18" spans="1:32" ht="15">
      <c r="A18" s="112">
        <v>8</v>
      </c>
      <c r="B18" s="328" t="s">
        <v>877</v>
      </c>
      <c r="C18" s="81">
        <v>11</v>
      </c>
      <c r="D18" s="81">
        <v>380</v>
      </c>
      <c r="E18" s="81">
        <v>1644</v>
      </c>
      <c r="F18" s="81">
        <v>0</v>
      </c>
      <c r="G18" s="81">
        <v>0</v>
      </c>
      <c r="H18" s="81">
        <v>2035</v>
      </c>
      <c r="I18" s="81">
        <v>11</v>
      </c>
      <c r="J18" s="81">
        <v>365</v>
      </c>
      <c r="K18" s="81">
        <v>4033</v>
      </c>
      <c r="L18" s="81">
        <v>0</v>
      </c>
      <c r="M18" s="81">
        <v>0</v>
      </c>
      <c r="N18" s="9">
        <v>4409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1">
        <v>0</v>
      </c>
      <c r="X18" s="81">
        <v>0</v>
      </c>
      <c r="Y18" s="81">
        <v>0</v>
      </c>
      <c r="Z18" s="81">
        <v>0</v>
      </c>
      <c r="AA18" s="592">
        <v>0</v>
      </c>
      <c r="AB18" s="81">
        <v>280</v>
      </c>
      <c r="AC18" s="81">
        <v>846</v>
      </c>
      <c r="AD18" s="593">
        <v>0</v>
      </c>
      <c r="AE18" s="81">
        <v>0</v>
      </c>
      <c r="AF18" s="81">
        <v>1126</v>
      </c>
    </row>
    <row r="19" spans="1:32" ht="15">
      <c r="A19" s="112">
        <v>9</v>
      </c>
      <c r="B19" s="328" t="s">
        <v>878</v>
      </c>
      <c r="C19" s="81">
        <v>0</v>
      </c>
      <c r="D19" s="81">
        <v>538</v>
      </c>
      <c r="E19" s="81">
        <v>1128</v>
      </c>
      <c r="F19" s="81">
        <v>16</v>
      </c>
      <c r="G19" s="81">
        <v>0</v>
      </c>
      <c r="H19" s="81">
        <v>1682</v>
      </c>
      <c r="I19" s="81">
        <v>0</v>
      </c>
      <c r="J19" s="81">
        <v>436</v>
      </c>
      <c r="K19" s="81">
        <v>2514</v>
      </c>
      <c r="L19" s="81">
        <v>15</v>
      </c>
      <c r="M19" s="81">
        <v>0</v>
      </c>
      <c r="N19" s="9">
        <v>2950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1">
        <v>0</v>
      </c>
      <c r="Y19" s="81">
        <v>0</v>
      </c>
      <c r="Z19" s="81">
        <v>0</v>
      </c>
      <c r="AA19" s="592"/>
      <c r="AB19" s="81">
        <v>338</v>
      </c>
      <c r="AC19" s="81">
        <v>479</v>
      </c>
      <c r="AD19" s="593"/>
      <c r="AE19" s="81"/>
      <c r="AF19" s="81">
        <v>817</v>
      </c>
    </row>
    <row r="20" spans="1:32" ht="15">
      <c r="A20" s="112">
        <v>10</v>
      </c>
      <c r="B20" s="328" t="s">
        <v>879</v>
      </c>
      <c r="C20" s="81"/>
      <c r="D20" s="81">
        <v>215</v>
      </c>
      <c r="E20" s="81">
        <v>1583</v>
      </c>
      <c r="F20" s="81">
        <v>0</v>
      </c>
      <c r="G20" s="81">
        <v>2</v>
      </c>
      <c r="H20" s="81">
        <v>1799</v>
      </c>
      <c r="I20" s="81">
        <v>0</v>
      </c>
      <c r="J20" s="81">
        <v>98</v>
      </c>
      <c r="K20" s="81">
        <v>3513</v>
      </c>
      <c r="L20" s="81">
        <v>0</v>
      </c>
      <c r="M20" s="81">
        <v>0</v>
      </c>
      <c r="N20" s="9">
        <v>3611</v>
      </c>
      <c r="O20" s="81">
        <v>0</v>
      </c>
      <c r="P20" s="81">
        <v>148</v>
      </c>
      <c r="Q20" s="81">
        <v>779</v>
      </c>
      <c r="R20" s="81">
        <v>0</v>
      </c>
      <c r="S20" s="81">
        <v>1</v>
      </c>
      <c r="T20" s="81">
        <v>928</v>
      </c>
      <c r="U20" s="81">
        <v>0</v>
      </c>
      <c r="V20" s="81">
        <v>0</v>
      </c>
      <c r="W20" s="81">
        <v>0</v>
      </c>
      <c r="X20" s="81">
        <v>0</v>
      </c>
      <c r="Y20" s="81">
        <v>0</v>
      </c>
      <c r="Z20" s="81">
        <v>0</v>
      </c>
      <c r="AA20" s="592">
        <v>0</v>
      </c>
      <c r="AB20" s="81">
        <v>136</v>
      </c>
      <c r="AC20" s="81">
        <v>1219</v>
      </c>
      <c r="AD20" s="593">
        <v>0</v>
      </c>
      <c r="AE20" s="81">
        <v>0</v>
      </c>
      <c r="AF20" s="81">
        <v>1355</v>
      </c>
    </row>
    <row r="21" spans="1:32" ht="15">
      <c r="A21" s="112">
        <v>11</v>
      </c>
      <c r="B21" s="328" t="s">
        <v>880</v>
      </c>
      <c r="C21" s="81">
        <v>0</v>
      </c>
      <c r="D21" s="81">
        <v>275</v>
      </c>
      <c r="E21" s="81">
        <v>1099</v>
      </c>
      <c r="F21" s="81">
        <v>0</v>
      </c>
      <c r="G21" s="81">
        <v>0</v>
      </c>
      <c r="H21" s="81">
        <v>1374</v>
      </c>
      <c r="I21" s="81">
        <v>0</v>
      </c>
      <c r="J21" s="81">
        <v>274</v>
      </c>
      <c r="K21" s="81">
        <v>2312</v>
      </c>
      <c r="L21" s="81">
        <v>0</v>
      </c>
      <c r="M21" s="81">
        <v>0</v>
      </c>
      <c r="N21" s="9">
        <v>2586</v>
      </c>
      <c r="O21" s="81">
        <v>0</v>
      </c>
      <c r="P21" s="81">
        <v>191</v>
      </c>
      <c r="Q21" s="81">
        <v>0</v>
      </c>
      <c r="R21" s="81">
        <v>0</v>
      </c>
      <c r="S21" s="81">
        <v>0</v>
      </c>
      <c r="T21" s="81">
        <v>191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592">
        <v>0</v>
      </c>
      <c r="AB21" s="81">
        <v>170</v>
      </c>
      <c r="AC21" s="81">
        <v>621</v>
      </c>
      <c r="AD21" s="593">
        <v>0</v>
      </c>
      <c r="AE21" s="81">
        <v>0</v>
      </c>
      <c r="AF21" s="81">
        <v>791</v>
      </c>
    </row>
    <row r="22" spans="1:32" ht="15">
      <c r="A22" s="112">
        <v>12</v>
      </c>
      <c r="B22" s="328" t="s">
        <v>881</v>
      </c>
      <c r="C22" s="81"/>
      <c r="D22" s="81">
        <v>160</v>
      </c>
      <c r="E22" s="81">
        <v>872</v>
      </c>
      <c r="F22" s="81">
        <v>0</v>
      </c>
      <c r="G22" s="81">
        <v>0</v>
      </c>
      <c r="H22" s="81">
        <v>1032</v>
      </c>
      <c r="I22" s="81"/>
      <c r="J22" s="81"/>
      <c r="K22" s="81">
        <v>2181</v>
      </c>
      <c r="L22" s="81"/>
      <c r="M22" s="81"/>
      <c r="N22" s="9">
        <v>2181</v>
      </c>
      <c r="O22" s="81"/>
      <c r="P22" s="81"/>
      <c r="Q22" s="81"/>
      <c r="R22" s="81"/>
      <c r="S22" s="81"/>
      <c r="T22" s="81"/>
      <c r="U22" s="81"/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592"/>
      <c r="AB22" s="81">
        <v>90</v>
      </c>
      <c r="AC22" s="81">
        <v>494</v>
      </c>
      <c r="AD22" s="593"/>
      <c r="AE22" s="81"/>
      <c r="AF22" s="81">
        <v>584</v>
      </c>
    </row>
    <row r="23" spans="1:32" ht="15">
      <c r="A23" s="112">
        <v>13</v>
      </c>
      <c r="B23" s="328" t="s">
        <v>882</v>
      </c>
      <c r="C23" s="81"/>
      <c r="D23" s="81">
        <v>800</v>
      </c>
      <c r="E23" s="81">
        <v>1919</v>
      </c>
      <c r="F23" s="81">
        <v>28</v>
      </c>
      <c r="G23" s="81">
        <v>1</v>
      </c>
      <c r="H23" s="81">
        <v>2748</v>
      </c>
      <c r="I23" s="81"/>
      <c r="J23" s="81"/>
      <c r="K23" s="81">
        <v>3969</v>
      </c>
      <c r="L23" s="81"/>
      <c r="M23" s="81"/>
      <c r="N23" s="9">
        <v>3969</v>
      </c>
      <c r="O23" s="81"/>
      <c r="P23" s="81"/>
      <c r="Q23" s="81"/>
      <c r="R23" s="81"/>
      <c r="S23" s="81"/>
      <c r="T23" s="81"/>
      <c r="U23" s="81"/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592"/>
      <c r="AB23" s="81">
        <v>685</v>
      </c>
      <c r="AC23" s="81">
        <v>1052</v>
      </c>
      <c r="AD23" s="593"/>
      <c r="AE23" s="81"/>
      <c r="AF23" s="81">
        <v>1737</v>
      </c>
    </row>
    <row r="24" spans="1:32" ht="15">
      <c r="A24" s="112">
        <v>14</v>
      </c>
      <c r="B24" s="328" t="s">
        <v>883</v>
      </c>
      <c r="C24" s="81">
        <v>0</v>
      </c>
      <c r="D24" s="81">
        <v>374</v>
      </c>
      <c r="E24" s="81">
        <v>1549</v>
      </c>
      <c r="F24" s="81">
        <v>0</v>
      </c>
      <c r="G24" s="81">
        <v>0</v>
      </c>
      <c r="H24" s="81">
        <v>1923</v>
      </c>
      <c r="I24" s="81">
        <v>0</v>
      </c>
      <c r="J24" s="81">
        <v>1542</v>
      </c>
      <c r="K24" s="81">
        <v>1716</v>
      </c>
      <c r="L24" s="81">
        <v>0</v>
      </c>
      <c r="M24" s="81">
        <v>0</v>
      </c>
      <c r="N24" s="9">
        <v>3258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1">
        <v>0</v>
      </c>
      <c r="W24" s="81">
        <v>0</v>
      </c>
      <c r="X24" s="81">
        <v>0</v>
      </c>
      <c r="Y24" s="81">
        <v>0</v>
      </c>
      <c r="Z24" s="81">
        <v>0</v>
      </c>
      <c r="AA24" s="592">
        <v>0</v>
      </c>
      <c r="AB24" s="81">
        <v>178</v>
      </c>
      <c r="AC24" s="81">
        <v>822</v>
      </c>
      <c r="AD24" s="593">
        <v>0</v>
      </c>
      <c r="AE24" s="81">
        <v>0</v>
      </c>
      <c r="AF24" s="81">
        <v>1000</v>
      </c>
    </row>
    <row r="25" spans="1:32" ht="15">
      <c r="A25" s="112">
        <v>15</v>
      </c>
      <c r="B25" s="328" t="s">
        <v>884</v>
      </c>
      <c r="C25" s="81">
        <v>0</v>
      </c>
      <c r="D25" s="81">
        <v>774</v>
      </c>
      <c r="E25" s="81">
        <v>2287</v>
      </c>
      <c r="F25" s="81">
        <v>0</v>
      </c>
      <c r="G25" s="81">
        <v>0</v>
      </c>
      <c r="H25" s="81">
        <v>3061</v>
      </c>
      <c r="I25" s="81">
        <v>0</v>
      </c>
      <c r="J25" s="81">
        <v>774</v>
      </c>
      <c r="K25" s="81">
        <v>3607</v>
      </c>
      <c r="L25" s="81">
        <v>0</v>
      </c>
      <c r="M25" s="81">
        <v>0</v>
      </c>
      <c r="N25" s="9">
        <v>4381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592">
        <v>0</v>
      </c>
      <c r="AB25" s="81">
        <v>532</v>
      </c>
      <c r="AC25" s="81">
        <v>1254</v>
      </c>
      <c r="AD25" s="593">
        <v>0</v>
      </c>
      <c r="AE25" s="81">
        <v>0</v>
      </c>
      <c r="AF25" s="81">
        <v>1786</v>
      </c>
    </row>
    <row r="26" spans="1:32" ht="15">
      <c r="A26" s="112">
        <v>16</v>
      </c>
      <c r="B26" s="328" t="s">
        <v>885</v>
      </c>
      <c r="C26" s="81">
        <v>0</v>
      </c>
      <c r="D26" s="81">
        <v>813</v>
      </c>
      <c r="E26" s="81">
        <v>1910</v>
      </c>
      <c r="F26" s="81">
        <v>0</v>
      </c>
      <c r="G26" s="81">
        <v>0</v>
      </c>
      <c r="H26" s="81">
        <v>2137</v>
      </c>
      <c r="I26" s="81">
        <v>0</v>
      </c>
      <c r="J26" s="81">
        <v>2113</v>
      </c>
      <c r="K26" s="81">
        <v>1677</v>
      </c>
      <c r="L26" s="81">
        <v>0</v>
      </c>
      <c r="M26" s="81">
        <v>0</v>
      </c>
      <c r="N26" s="9">
        <v>3790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592">
        <v>0</v>
      </c>
      <c r="AB26" s="81">
        <v>515</v>
      </c>
      <c r="AC26" s="81">
        <v>752</v>
      </c>
      <c r="AD26" s="593">
        <v>0</v>
      </c>
      <c r="AE26" s="81">
        <v>0</v>
      </c>
      <c r="AF26" s="81">
        <v>1267</v>
      </c>
    </row>
    <row r="27" spans="1:32" ht="15">
      <c r="A27" s="112">
        <v>17</v>
      </c>
      <c r="B27" s="328" t="s">
        <v>886</v>
      </c>
      <c r="C27" s="81">
        <v>0</v>
      </c>
      <c r="D27" s="81">
        <v>1202</v>
      </c>
      <c r="E27" s="81">
        <v>1187</v>
      </c>
      <c r="F27" s="81">
        <v>0</v>
      </c>
      <c r="G27" s="81">
        <v>0</v>
      </c>
      <c r="H27" s="81">
        <v>2389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9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592">
        <v>0</v>
      </c>
      <c r="AB27" s="81">
        <v>1027</v>
      </c>
      <c r="AC27" s="81">
        <v>912</v>
      </c>
      <c r="AD27" s="593">
        <v>0</v>
      </c>
      <c r="AE27" s="81">
        <v>0</v>
      </c>
      <c r="AF27" s="81">
        <v>1939</v>
      </c>
    </row>
    <row r="28" spans="1:32" ht="15">
      <c r="A28" s="112">
        <v>18</v>
      </c>
      <c r="B28" s="328" t="s">
        <v>887</v>
      </c>
      <c r="C28" s="81"/>
      <c r="D28" s="81">
        <v>742</v>
      </c>
      <c r="E28" s="81">
        <v>1800</v>
      </c>
      <c r="F28" s="81">
        <v>0</v>
      </c>
      <c r="G28" s="81">
        <v>14</v>
      </c>
      <c r="H28" s="81">
        <v>2849</v>
      </c>
      <c r="I28" s="81">
        <v>0</v>
      </c>
      <c r="J28" s="81">
        <v>1042</v>
      </c>
      <c r="K28" s="81">
        <v>4174</v>
      </c>
      <c r="L28" s="81">
        <v>0</v>
      </c>
      <c r="M28" s="81">
        <v>7</v>
      </c>
      <c r="N28" s="9">
        <v>5216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592">
        <v>0</v>
      </c>
      <c r="AB28" s="81">
        <v>630</v>
      </c>
      <c r="AC28" s="81">
        <v>984</v>
      </c>
      <c r="AD28" s="593">
        <v>0</v>
      </c>
      <c r="AE28" s="81">
        <v>2</v>
      </c>
      <c r="AF28" s="81">
        <v>1614</v>
      </c>
    </row>
    <row r="29" spans="1:32" ht="15">
      <c r="A29" s="112">
        <v>19</v>
      </c>
      <c r="B29" s="328" t="s">
        <v>888</v>
      </c>
      <c r="C29" s="81">
        <v>0</v>
      </c>
      <c r="D29" s="81">
        <v>765</v>
      </c>
      <c r="E29" s="81">
        <v>2256</v>
      </c>
      <c r="F29" s="81">
        <v>0</v>
      </c>
      <c r="G29" s="81">
        <v>0</v>
      </c>
      <c r="H29" s="81">
        <v>3021</v>
      </c>
      <c r="I29" s="81">
        <v>0</v>
      </c>
      <c r="J29" s="81">
        <v>0</v>
      </c>
      <c r="K29" s="81">
        <v>4841</v>
      </c>
      <c r="L29" s="81">
        <v>0</v>
      </c>
      <c r="M29" s="81">
        <v>0</v>
      </c>
      <c r="N29" s="9">
        <v>4841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592">
        <v>0</v>
      </c>
      <c r="AB29" s="81">
        <v>474</v>
      </c>
      <c r="AC29" s="81">
        <v>1189</v>
      </c>
      <c r="AD29" s="593">
        <v>0</v>
      </c>
      <c r="AE29" s="81">
        <v>0</v>
      </c>
      <c r="AF29" s="81">
        <v>1663</v>
      </c>
    </row>
    <row r="30" spans="1:32" ht="15">
      <c r="A30" s="112">
        <v>20</v>
      </c>
      <c r="B30" s="328" t="s">
        <v>889</v>
      </c>
      <c r="C30" s="81">
        <v>0</v>
      </c>
      <c r="D30" s="81">
        <v>287</v>
      </c>
      <c r="E30" s="81">
        <v>1418</v>
      </c>
      <c r="F30" s="81">
        <v>0</v>
      </c>
      <c r="G30" s="81">
        <v>0</v>
      </c>
      <c r="H30" s="81">
        <v>1705</v>
      </c>
      <c r="I30" s="81">
        <v>0</v>
      </c>
      <c r="J30" s="81">
        <v>430</v>
      </c>
      <c r="K30" s="81">
        <v>2561</v>
      </c>
      <c r="L30" s="81">
        <v>0</v>
      </c>
      <c r="M30" s="81">
        <v>0</v>
      </c>
      <c r="N30" s="9">
        <v>2991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592">
        <v>0</v>
      </c>
      <c r="AB30" s="81">
        <v>164</v>
      </c>
      <c r="AC30" s="81">
        <v>610</v>
      </c>
      <c r="AD30" s="593">
        <v>0</v>
      </c>
      <c r="AE30" s="81">
        <v>0</v>
      </c>
      <c r="AF30" s="81">
        <v>774</v>
      </c>
    </row>
    <row r="31" spans="1:32" ht="15">
      <c r="A31" s="112">
        <v>21</v>
      </c>
      <c r="B31" s="328" t="s">
        <v>890</v>
      </c>
      <c r="C31" s="81"/>
      <c r="D31" s="81">
        <v>847</v>
      </c>
      <c r="E31" s="81">
        <v>3602</v>
      </c>
      <c r="F31" s="81">
        <v>0</v>
      </c>
      <c r="G31" s="81">
        <v>0</v>
      </c>
      <c r="H31" s="81">
        <v>4449</v>
      </c>
      <c r="I31" s="81"/>
      <c r="J31" s="81">
        <v>897</v>
      </c>
      <c r="K31" s="81">
        <v>5601</v>
      </c>
      <c r="L31" s="81"/>
      <c r="M31" s="81"/>
      <c r="N31" s="9">
        <v>6498</v>
      </c>
      <c r="O31" s="81"/>
      <c r="P31" s="81"/>
      <c r="Q31" s="81"/>
      <c r="R31" s="81"/>
      <c r="S31" s="81"/>
      <c r="T31" s="81"/>
      <c r="U31" s="81"/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592"/>
      <c r="AB31" s="81">
        <v>537</v>
      </c>
      <c r="AC31" s="81">
        <v>1786</v>
      </c>
      <c r="AD31" s="593"/>
      <c r="AE31" s="81"/>
      <c r="AF31" s="81">
        <v>2323</v>
      </c>
    </row>
    <row r="32" spans="1:32" ht="15">
      <c r="A32" s="112">
        <v>22</v>
      </c>
      <c r="B32" s="328" t="s">
        <v>891</v>
      </c>
      <c r="C32" s="81"/>
      <c r="D32" s="81">
        <v>403</v>
      </c>
      <c r="E32" s="81">
        <v>1145</v>
      </c>
      <c r="F32" s="81">
        <v>0</v>
      </c>
      <c r="G32" s="81">
        <v>0</v>
      </c>
      <c r="H32" s="81">
        <v>1548</v>
      </c>
      <c r="I32" s="81">
        <v>0</v>
      </c>
      <c r="J32" s="81">
        <v>851</v>
      </c>
      <c r="K32" s="81">
        <v>2207</v>
      </c>
      <c r="L32" s="81">
        <v>0</v>
      </c>
      <c r="M32" s="81">
        <v>0</v>
      </c>
      <c r="N32" s="9">
        <v>3058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/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592">
        <v>0</v>
      </c>
      <c r="AB32" s="81">
        <v>302</v>
      </c>
      <c r="AC32" s="81">
        <v>638</v>
      </c>
      <c r="AD32" s="593">
        <v>0</v>
      </c>
      <c r="AE32" s="81">
        <v>0</v>
      </c>
      <c r="AF32" s="81">
        <v>940</v>
      </c>
    </row>
    <row r="33" spans="1:32" ht="15">
      <c r="A33" s="112">
        <v>23</v>
      </c>
      <c r="B33" s="328" t="s">
        <v>892</v>
      </c>
      <c r="C33" s="81">
        <v>0</v>
      </c>
      <c r="D33" s="81">
        <v>380</v>
      </c>
      <c r="E33" s="81">
        <v>1183</v>
      </c>
      <c r="F33" s="81">
        <v>20</v>
      </c>
      <c r="G33" s="81">
        <v>0</v>
      </c>
      <c r="H33" s="81">
        <v>1583</v>
      </c>
      <c r="I33" s="81"/>
      <c r="J33" s="81">
        <v>325</v>
      </c>
      <c r="K33" s="81">
        <v>2830</v>
      </c>
      <c r="L33" s="81"/>
      <c r="M33" s="81"/>
      <c r="N33" s="9">
        <v>3155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592">
        <v>0</v>
      </c>
      <c r="AB33" s="81">
        <v>262</v>
      </c>
      <c r="AC33" s="81">
        <v>681</v>
      </c>
      <c r="AD33" s="593"/>
      <c r="AE33" s="81"/>
      <c r="AF33" s="81">
        <v>943</v>
      </c>
    </row>
    <row r="34" spans="1:32" ht="15">
      <c r="A34" s="112">
        <v>24</v>
      </c>
      <c r="B34" s="328" t="s">
        <v>893</v>
      </c>
      <c r="C34" s="81"/>
      <c r="D34" s="81">
        <v>1185</v>
      </c>
      <c r="E34" s="81">
        <v>4247</v>
      </c>
      <c r="F34" s="81">
        <v>0</v>
      </c>
      <c r="G34" s="81">
        <v>0</v>
      </c>
      <c r="H34" s="81">
        <v>5432</v>
      </c>
      <c r="I34" s="81"/>
      <c r="J34" s="81">
        <v>1102</v>
      </c>
      <c r="K34" s="81">
        <v>6698</v>
      </c>
      <c r="L34" s="81"/>
      <c r="M34" s="81"/>
      <c r="N34" s="9">
        <v>7800</v>
      </c>
      <c r="O34" s="81"/>
      <c r="P34" s="81"/>
      <c r="Q34" s="81"/>
      <c r="R34" s="81"/>
      <c r="S34" s="81"/>
      <c r="T34" s="81"/>
      <c r="U34" s="81"/>
      <c r="V34" s="81">
        <v>0</v>
      </c>
      <c r="W34" s="81">
        <v>0</v>
      </c>
      <c r="X34" s="81">
        <v>0</v>
      </c>
      <c r="Y34" s="81">
        <v>0</v>
      </c>
      <c r="Z34" s="81">
        <v>0</v>
      </c>
      <c r="AA34" s="592"/>
      <c r="AB34" s="81">
        <v>873</v>
      </c>
      <c r="AC34" s="81">
        <v>2182</v>
      </c>
      <c r="AD34" s="593"/>
      <c r="AE34" s="81"/>
      <c r="AF34" s="81">
        <v>3055</v>
      </c>
    </row>
    <row r="35" spans="1:32" ht="15">
      <c r="A35" s="112">
        <v>25</v>
      </c>
      <c r="B35" s="328" t="s">
        <v>894</v>
      </c>
      <c r="C35" s="81">
        <v>0</v>
      </c>
      <c r="D35" s="81">
        <v>349</v>
      </c>
      <c r="E35" s="81">
        <v>2859</v>
      </c>
      <c r="F35" s="81">
        <v>0</v>
      </c>
      <c r="G35" s="81">
        <v>0</v>
      </c>
      <c r="H35" s="81">
        <v>3208</v>
      </c>
      <c r="I35" s="81">
        <v>0</v>
      </c>
      <c r="J35" s="81">
        <v>0</v>
      </c>
      <c r="K35" s="81">
        <v>5509</v>
      </c>
      <c r="L35" s="81">
        <v>0</v>
      </c>
      <c r="M35" s="81">
        <v>0</v>
      </c>
      <c r="N35" s="9">
        <v>5509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1">
        <v>0</v>
      </c>
      <c r="Y35" s="81">
        <v>0</v>
      </c>
      <c r="Z35" s="81">
        <v>0</v>
      </c>
      <c r="AA35" s="592">
        <v>0</v>
      </c>
      <c r="AB35" s="81">
        <v>232</v>
      </c>
      <c r="AC35" s="81">
        <v>1380</v>
      </c>
      <c r="AD35" s="593">
        <v>0</v>
      </c>
      <c r="AE35" s="81">
        <v>0</v>
      </c>
      <c r="AF35" s="81">
        <v>1612</v>
      </c>
    </row>
    <row r="36" spans="1:32" ht="15">
      <c r="A36" s="112">
        <v>26</v>
      </c>
      <c r="B36" s="328" t="s">
        <v>895</v>
      </c>
      <c r="C36" s="81"/>
      <c r="D36" s="81">
        <v>343</v>
      </c>
      <c r="E36" s="81">
        <v>2733</v>
      </c>
      <c r="F36" s="81">
        <v>0</v>
      </c>
      <c r="G36" s="81">
        <v>0</v>
      </c>
      <c r="H36" s="81">
        <v>3076</v>
      </c>
      <c r="I36" s="81"/>
      <c r="J36" s="81"/>
      <c r="K36" s="81">
        <v>4945</v>
      </c>
      <c r="L36" s="81"/>
      <c r="M36" s="81"/>
      <c r="N36" s="9">
        <v>4945</v>
      </c>
      <c r="O36" s="81"/>
      <c r="P36" s="81"/>
      <c r="Q36" s="81"/>
      <c r="R36" s="81"/>
      <c r="S36" s="81"/>
      <c r="T36" s="81"/>
      <c r="U36" s="81"/>
      <c r="V36" s="81">
        <v>0</v>
      </c>
      <c r="W36" s="81">
        <v>0</v>
      </c>
      <c r="X36" s="81">
        <v>0</v>
      </c>
      <c r="Y36" s="81">
        <v>0</v>
      </c>
      <c r="Z36" s="81">
        <v>0</v>
      </c>
      <c r="AA36" s="592"/>
      <c r="AB36" s="81">
        <v>199</v>
      </c>
      <c r="AC36" s="81">
        <v>1514</v>
      </c>
      <c r="AD36" s="593"/>
      <c r="AE36" s="81"/>
      <c r="AF36" s="81">
        <v>1713</v>
      </c>
    </row>
    <row r="37" spans="1:32" ht="15">
      <c r="A37" s="112">
        <v>27</v>
      </c>
      <c r="B37" s="328" t="s">
        <v>896</v>
      </c>
      <c r="C37" s="81">
        <v>0</v>
      </c>
      <c r="D37" s="81">
        <v>719</v>
      </c>
      <c r="E37" s="81">
        <v>1790</v>
      </c>
      <c r="F37" s="81">
        <v>6</v>
      </c>
      <c r="G37" s="81">
        <v>0</v>
      </c>
      <c r="H37" s="81">
        <v>2515</v>
      </c>
      <c r="I37" s="81">
        <v>0</v>
      </c>
      <c r="J37" s="81">
        <v>695</v>
      </c>
      <c r="K37" s="81">
        <v>3129</v>
      </c>
      <c r="L37" s="81">
        <v>0</v>
      </c>
      <c r="M37" s="81">
        <v>0</v>
      </c>
      <c r="N37" s="9">
        <v>3824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1">
        <v>0</v>
      </c>
      <c r="W37" s="81">
        <v>0</v>
      </c>
      <c r="X37" s="81">
        <v>0</v>
      </c>
      <c r="Y37" s="81">
        <v>0</v>
      </c>
      <c r="Z37" s="81">
        <v>0</v>
      </c>
      <c r="AA37" s="592"/>
      <c r="AB37" s="81">
        <v>437</v>
      </c>
      <c r="AC37" s="81">
        <v>921</v>
      </c>
      <c r="AD37" s="593"/>
      <c r="AE37" s="81"/>
      <c r="AF37" s="81">
        <v>1358</v>
      </c>
    </row>
    <row r="38" spans="1:32" ht="15">
      <c r="A38" s="112">
        <v>28</v>
      </c>
      <c r="B38" s="328" t="s">
        <v>897</v>
      </c>
      <c r="C38" s="81"/>
      <c r="D38" s="81">
        <v>642</v>
      </c>
      <c r="E38" s="81">
        <v>2794</v>
      </c>
      <c r="F38" s="81">
        <v>0</v>
      </c>
      <c r="G38" s="81">
        <v>0</v>
      </c>
      <c r="H38" s="81">
        <v>3436</v>
      </c>
      <c r="I38" s="81"/>
      <c r="J38" s="81">
        <v>427</v>
      </c>
      <c r="K38" s="81">
        <v>4627</v>
      </c>
      <c r="L38" s="81"/>
      <c r="M38" s="81"/>
      <c r="N38" s="9">
        <v>5054</v>
      </c>
      <c r="O38" s="81"/>
      <c r="P38" s="81"/>
      <c r="Q38" s="81"/>
      <c r="R38" s="81"/>
      <c r="S38" s="81"/>
      <c r="T38" s="81"/>
      <c r="U38" s="81"/>
      <c r="V38" s="81">
        <v>0</v>
      </c>
      <c r="W38" s="81">
        <v>0</v>
      </c>
      <c r="X38" s="81">
        <v>0</v>
      </c>
      <c r="Y38" s="81">
        <v>0</v>
      </c>
      <c r="Z38" s="81">
        <v>0</v>
      </c>
      <c r="AA38" s="592"/>
      <c r="AB38" s="81">
        <v>411</v>
      </c>
      <c r="AC38" s="81">
        <v>1430</v>
      </c>
      <c r="AD38" s="593"/>
      <c r="AE38" s="81"/>
      <c r="AF38" s="81">
        <v>1841</v>
      </c>
    </row>
    <row r="39" spans="1:32" ht="15">
      <c r="A39" s="112">
        <v>29</v>
      </c>
      <c r="B39" s="328" t="s">
        <v>898</v>
      </c>
      <c r="C39" s="81">
        <v>0</v>
      </c>
      <c r="D39" s="81">
        <v>145</v>
      </c>
      <c r="E39" s="81">
        <v>1525</v>
      </c>
      <c r="F39" s="81">
        <v>0</v>
      </c>
      <c r="G39" s="81">
        <v>0</v>
      </c>
      <c r="H39" s="81">
        <v>1670</v>
      </c>
      <c r="I39" s="81">
        <v>0</v>
      </c>
      <c r="J39" s="81">
        <v>0</v>
      </c>
      <c r="K39" s="81">
        <v>2964</v>
      </c>
      <c r="L39" s="81">
        <v>0</v>
      </c>
      <c r="M39" s="81">
        <v>0</v>
      </c>
      <c r="N39" s="9">
        <v>2964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592">
        <v>0</v>
      </c>
      <c r="AB39" s="81">
        <v>137</v>
      </c>
      <c r="AC39" s="81">
        <v>792</v>
      </c>
      <c r="AD39" s="593">
        <v>0</v>
      </c>
      <c r="AE39" s="81">
        <v>0</v>
      </c>
      <c r="AF39" s="81">
        <v>929</v>
      </c>
    </row>
    <row r="40" spans="1:32" ht="15">
      <c r="A40" s="112">
        <v>30</v>
      </c>
      <c r="B40" s="328" t="s">
        <v>899</v>
      </c>
      <c r="C40" s="81"/>
      <c r="D40" s="81">
        <v>880</v>
      </c>
      <c r="E40" s="81">
        <v>3193</v>
      </c>
      <c r="F40" s="81">
        <v>0</v>
      </c>
      <c r="G40" s="81">
        <v>0</v>
      </c>
      <c r="H40" s="81">
        <v>4073</v>
      </c>
      <c r="I40" s="81"/>
      <c r="J40" s="81">
        <v>631</v>
      </c>
      <c r="K40" s="81">
        <v>5159</v>
      </c>
      <c r="L40" s="81"/>
      <c r="M40" s="81"/>
      <c r="N40" s="9">
        <v>5790</v>
      </c>
      <c r="O40" s="81"/>
      <c r="P40" s="81"/>
      <c r="Q40" s="81"/>
      <c r="R40" s="81"/>
      <c r="S40" s="81"/>
      <c r="T40" s="81"/>
      <c r="U40" s="81"/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592"/>
      <c r="AB40" s="81">
        <v>545</v>
      </c>
      <c r="AC40" s="81">
        <v>1586</v>
      </c>
      <c r="AD40" s="593"/>
      <c r="AE40" s="81"/>
      <c r="AF40" s="81">
        <v>2131</v>
      </c>
    </row>
    <row r="41" spans="1:32" ht="15">
      <c r="A41" s="112">
        <v>31</v>
      </c>
      <c r="B41" s="328" t="s">
        <v>900</v>
      </c>
      <c r="C41" s="81">
        <v>15</v>
      </c>
      <c r="D41" s="81">
        <v>893</v>
      </c>
      <c r="E41" s="81">
        <v>1840</v>
      </c>
      <c r="F41" s="81">
        <v>37</v>
      </c>
      <c r="G41" s="81">
        <v>0</v>
      </c>
      <c r="H41" s="81">
        <v>2785</v>
      </c>
      <c r="I41" s="81">
        <v>0</v>
      </c>
      <c r="J41" s="81">
        <v>758</v>
      </c>
      <c r="K41" s="81">
        <v>5867</v>
      </c>
      <c r="L41" s="81">
        <v>0</v>
      </c>
      <c r="M41" s="81">
        <v>0</v>
      </c>
      <c r="N41" s="9">
        <v>6625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592">
        <v>0</v>
      </c>
      <c r="AB41" s="81">
        <v>635</v>
      </c>
      <c r="AC41" s="81">
        <v>2058</v>
      </c>
      <c r="AD41" s="593">
        <v>0</v>
      </c>
      <c r="AE41" s="81">
        <v>0</v>
      </c>
      <c r="AF41" s="81">
        <v>2693</v>
      </c>
    </row>
    <row r="42" spans="1:32" ht="15">
      <c r="A42" s="112">
        <v>32</v>
      </c>
      <c r="B42" s="328" t="s">
        <v>901</v>
      </c>
      <c r="C42" s="81">
        <v>0</v>
      </c>
      <c r="D42" s="81">
        <v>218</v>
      </c>
      <c r="E42" s="81">
        <v>2175</v>
      </c>
      <c r="F42" s="81">
        <v>0</v>
      </c>
      <c r="G42" s="81">
        <v>0</v>
      </c>
      <c r="H42" s="81">
        <v>2393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9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592">
        <v>0</v>
      </c>
      <c r="AB42" s="81"/>
      <c r="AC42" s="81"/>
      <c r="AD42" s="593"/>
      <c r="AE42" s="81"/>
      <c r="AF42" s="81">
        <v>0</v>
      </c>
    </row>
    <row r="43" spans="1:32" ht="15">
      <c r="A43" s="112">
        <v>33</v>
      </c>
      <c r="B43" s="328" t="s">
        <v>902</v>
      </c>
      <c r="C43" s="81"/>
      <c r="D43" s="81">
        <v>213</v>
      </c>
      <c r="E43" s="81">
        <v>1033</v>
      </c>
      <c r="F43" s="81">
        <v>0</v>
      </c>
      <c r="G43" s="81">
        <v>0</v>
      </c>
      <c r="H43" s="81">
        <v>1246</v>
      </c>
      <c r="I43" s="81"/>
      <c r="J43" s="81">
        <v>175</v>
      </c>
      <c r="K43" s="81">
        <v>2714</v>
      </c>
      <c r="L43" s="81"/>
      <c r="M43" s="81"/>
      <c r="N43" s="9">
        <v>2889</v>
      </c>
      <c r="O43" s="81"/>
      <c r="P43" s="81"/>
      <c r="Q43" s="81"/>
      <c r="R43" s="81"/>
      <c r="S43" s="81"/>
      <c r="T43" s="81"/>
      <c r="U43" s="81"/>
      <c r="V43" s="81">
        <v>0</v>
      </c>
      <c r="W43" s="81">
        <v>0</v>
      </c>
      <c r="X43" s="81">
        <v>0</v>
      </c>
      <c r="Y43" s="81">
        <v>0</v>
      </c>
      <c r="Z43" s="81">
        <v>0</v>
      </c>
      <c r="AA43" s="592"/>
      <c r="AB43" s="81">
        <v>180</v>
      </c>
      <c r="AC43" s="81">
        <v>512</v>
      </c>
      <c r="AD43" s="593"/>
      <c r="AE43" s="81"/>
      <c r="AF43" s="81">
        <v>692</v>
      </c>
    </row>
    <row r="44" spans="1:48" s="81" customFormat="1" ht="15">
      <c r="A44" s="112">
        <v>34</v>
      </c>
      <c r="B44" s="328" t="s">
        <v>903</v>
      </c>
      <c r="C44" s="81">
        <v>0</v>
      </c>
      <c r="D44" s="81">
        <v>121</v>
      </c>
      <c r="E44" s="81">
        <v>959</v>
      </c>
      <c r="F44" s="81">
        <v>0</v>
      </c>
      <c r="G44" s="81">
        <v>0</v>
      </c>
      <c r="H44" s="81">
        <v>1110</v>
      </c>
      <c r="I44" s="81">
        <v>0</v>
      </c>
      <c r="J44" s="81">
        <v>288</v>
      </c>
      <c r="K44" s="81">
        <v>2240</v>
      </c>
      <c r="L44" s="81">
        <v>0</v>
      </c>
      <c r="M44" s="81">
        <v>0</v>
      </c>
      <c r="N44" s="9">
        <v>2528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1">
        <v>0</v>
      </c>
      <c r="W44" s="81">
        <v>0</v>
      </c>
      <c r="X44" s="81">
        <v>0</v>
      </c>
      <c r="Y44" s="81">
        <v>0</v>
      </c>
      <c r="Z44" s="81">
        <v>0</v>
      </c>
      <c r="AA44" s="592"/>
      <c r="AB44" s="81">
        <v>168</v>
      </c>
      <c r="AC44" s="81">
        <v>453</v>
      </c>
      <c r="AD44" s="593"/>
      <c r="AF44" s="81">
        <v>621</v>
      </c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</row>
    <row r="45" spans="1:32" ht="15">
      <c r="A45" s="112">
        <v>35</v>
      </c>
      <c r="B45" s="328" t="s">
        <v>904</v>
      </c>
      <c r="C45" s="81">
        <v>7</v>
      </c>
      <c r="D45" s="81">
        <v>477</v>
      </c>
      <c r="E45" s="81">
        <v>2297</v>
      </c>
      <c r="F45" s="81">
        <v>0</v>
      </c>
      <c r="G45" s="81">
        <v>1</v>
      </c>
      <c r="H45" s="81">
        <v>2782</v>
      </c>
      <c r="I45" s="81"/>
      <c r="J45" s="81">
        <v>396</v>
      </c>
      <c r="K45" s="81">
        <v>5301</v>
      </c>
      <c r="L45" s="81"/>
      <c r="M45" s="81"/>
      <c r="N45" s="9">
        <v>5697</v>
      </c>
      <c r="O45" s="81"/>
      <c r="P45" s="81"/>
      <c r="Q45" s="81"/>
      <c r="R45" s="81"/>
      <c r="S45" s="81"/>
      <c r="T45" s="81"/>
      <c r="U45" s="81"/>
      <c r="V45" s="81">
        <v>0</v>
      </c>
      <c r="W45" s="81">
        <v>0</v>
      </c>
      <c r="X45" s="81">
        <v>0</v>
      </c>
      <c r="Y45" s="81">
        <v>0</v>
      </c>
      <c r="Z45" s="81">
        <v>0</v>
      </c>
      <c r="AA45" s="592"/>
      <c r="AB45" s="81">
        <v>327</v>
      </c>
      <c r="AC45" s="81">
        <v>1246</v>
      </c>
      <c r="AD45" s="593"/>
      <c r="AE45" s="81"/>
      <c r="AF45" s="81">
        <v>1573</v>
      </c>
    </row>
    <row r="46" spans="1:32" s="530" customFormat="1" ht="15">
      <c r="A46" s="283" t="s">
        <v>19</v>
      </c>
      <c r="B46" s="281"/>
      <c r="C46" s="281">
        <v>39</v>
      </c>
      <c r="D46" s="281">
        <v>19346</v>
      </c>
      <c r="E46" s="281">
        <v>67481</v>
      </c>
      <c r="F46" s="281">
        <v>130</v>
      </c>
      <c r="G46" s="281">
        <v>18</v>
      </c>
      <c r="H46" s="281">
        <v>86780</v>
      </c>
      <c r="I46" s="281">
        <v>16</v>
      </c>
      <c r="J46" s="281">
        <v>17797</v>
      </c>
      <c r="K46" s="281">
        <v>122503</v>
      </c>
      <c r="L46" s="281">
        <v>15</v>
      </c>
      <c r="M46" s="281">
        <v>7</v>
      </c>
      <c r="N46" s="281">
        <v>140316</v>
      </c>
      <c r="O46" s="281">
        <v>0</v>
      </c>
      <c r="P46" s="281">
        <v>744</v>
      </c>
      <c r="Q46" s="281">
        <v>839</v>
      </c>
      <c r="R46" s="281">
        <v>0</v>
      </c>
      <c r="S46" s="281">
        <v>1</v>
      </c>
      <c r="T46" s="281">
        <v>1119</v>
      </c>
      <c r="U46" s="281">
        <v>0</v>
      </c>
      <c r="V46" s="281">
        <v>0</v>
      </c>
      <c r="W46" s="281">
        <v>0</v>
      </c>
      <c r="X46" s="281">
        <v>0</v>
      </c>
      <c r="Y46" s="281">
        <v>0</v>
      </c>
      <c r="Z46" s="281">
        <v>0</v>
      </c>
      <c r="AA46" s="594">
        <v>3</v>
      </c>
      <c r="AB46" s="281">
        <v>13215</v>
      </c>
      <c r="AC46" s="281">
        <v>35292</v>
      </c>
      <c r="AD46" s="595">
        <v>0</v>
      </c>
      <c r="AE46" s="281">
        <v>2</v>
      </c>
      <c r="AF46" s="281">
        <v>48510</v>
      </c>
    </row>
    <row r="47" spans="28:29" ht="15">
      <c r="AB47" s="81"/>
      <c r="AC47" s="81"/>
    </row>
    <row r="48" spans="1:32" s="16" customFormat="1" ht="12.75">
      <c r="A48" s="15" t="s">
        <v>12</v>
      </c>
      <c r="I48" s="15"/>
      <c r="J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83"/>
      <c r="AA48" s="83"/>
      <c r="AB48" s="83"/>
      <c r="AC48" s="83"/>
      <c r="AD48" s="83"/>
      <c r="AE48" s="83"/>
      <c r="AF48" s="83"/>
    </row>
    <row r="49" spans="4:32" s="16" customFormat="1" ht="12.75" customHeight="1">
      <c r="D49" s="748" t="s">
        <v>1021</v>
      </c>
      <c r="E49" s="748"/>
      <c r="F49" s="748"/>
      <c r="G49" s="748"/>
      <c r="N49" s="15"/>
      <c r="O49" s="36"/>
      <c r="P49" s="36"/>
      <c r="Q49" s="36"/>
      <c r="R49" s="36"/>
      <c r="S49" s="36"/>
      <c r="T49" s="36"/>
      <c r="U49" s="36"/>
      <c r="V49" s="36"/>
      <c r="W49" s="748" t="s">
        <v>1024</v>
      </c>
      <c r="X49" s="748"/>
      <c r="Y49" s="748"/>
      <c r="Z49" s="748"/>
      <c r="AA49" s="748"/>
      <c r="AB49" s="748"/>
      <c r="AC49" s="36"/>
      <c r="AD49" s="36"/>
      <c r="AE49" s="36"/>
      <c r="AF49" s="36"/>
    </row>
    <row r="50" spans="4:32" s="16" customFormat="1" ht="12.75" customHeight="1">
      <c r="D50" s="748" t="s">
        <v>1022</v>
      </c>
      <c r="E50" s="748"/>
      <c r="F50" s="748"/>
      <c r="G50" s="748"/>
      <c r="N50" s="36"/>
      <c r="O50" s="36"/>
      <c r="P50" s="36"/>
      <c r="Q50" s="36"/>
      <c r="R50" s="36"/>
      <c r="S50" s="36"/>
      <c r="T50" s="36"/>
      <c r="U50" s="36"/>
      <c r="V50" s="36"/>
      <c r="W50" s="748" t="s">
        <v>1025</v>
      </c>
      <c r="X50" s="748"/>
      <c r="Y50" s="748"/>
      <c r="Z50" s="748"/>
      <c r="AA50" s="748"/>
      <c r="AB50" s="748"/>
      <c r="AC50" s="36"/>
      <c r="AD50" s="36"/>
      <c r="AE50" s="36"/>
      <c r="AF50" s="36"/>
    </row>
    <row r="51" spans="1:32" s="16" customFormat="1" ht="12.75">
      <c r="A51" s="15"/>
      <c r="B51" s="15"/>
      <c r="D51" s="735" t="s">
        <v>1023</v>
      </c>
      <c r="E51" s="735"/>
      <c r="F51" s="735"/>
      <c r="G51" s="735"/>
      <c r="O51" s="15"/>
      <c r="P51" s="15"/>
      <c r="Q51" s="15"/>
      <c r="R51" s="15"/>
      <c r="S51" s="15"/>
      <c r="T51" s="15"/>
      <c r="U51" s="15"/>
      <c r="V51" s="15"/>
      <c r="W51" s="735" t="s">
        <v>1023</v>
      </c>
      <c r="X51" s="735"/>
      <c r="Y51" s="735"/>
      <c r="Z51" s="735"/>
      <c r="AA51" s="735"/>
      <c r="AB51" s="735"/>
      <c r="AC51" s="32"/>
      <c r="AD51" s="32"/>
      <c r="AE51" s="32"/>
      <c r="AF51" s="32"/>
    </row>
    <row r="52" spans="4:9" ht="15">
      <c r="D52"/>
      <c r="E52"/>
      <c r="F52"/>
      <c r="G52"/>
      <c r="H52"/>
      <c r="I52"/>
    </row>
  </sheetData>
  <sheetProtection/>
  <mergeCells count="16">
    <mergeCell ref="AA8:AF8"/>
    <mergeCell ref="AE1:AF1"/>
    <mergeCell ref="E2:V2"/>
    <mergeCell ref="C4:W4"/>
    <mergeCell ref="A8:A9"/>
    <mergeCell ref="B8:B9"/>
    <mergeCell ref="C8:H8"/>
    <mergeCell ref="I8:N8"/>
    <mergeCell ref="O8:T8"/>
    <mergeCell ref="U8:Z8"/>
    <mergeCell ref="W49:AB49"/>
    <mergeCell ref="W50:AB50"/>
    <mergeCell ref="W51:AB51"/>
    <mergeCell ref="D49:G49"/>
    <mergeCell ref="D50:G50"/>
    <mergeCell ref="D51:G51"/>
  </mergeCells>
  <printOptions/>
  <pageMargins left="0.46" right="0.36" top="0.42" bottom="0.75" header="0.3" footer="0.3"/>
  <pageSetup fitToHeight="1" fitToWidth="1" horizontalDpi="600" verticalDpi="600" orientation="landscape" scale="61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115" zoomScaleNormal="70" zoomScaleSheetLayoutView="115" zoomScalePageLayoutView="0" workbookViewId="0" topLeftCell="D40">
      <selection activeCell="H58" sqref="H58"/>
    </sheetView>
  </sheetViews>
  <sheetFormatPr defaultColWidth="8.8515625" defaultRowHeight="12.75"/>
  <cols>
    <col min="1" max="1" width="8.140625" style="73" customWidth="1"/>
    <col min="2" max="2" width="16.00390625" style="73" bestFit="1" customWidth="1"/>
    <col min="3" max="3" width="14.8515625" style="73" customWidth="1"/>
    <col min="4" max="4" width="11.7109375" style="73" customWidth="1"/>
    <col min="5" max="5" width="11.28125" style="73" customWidth="1"/>
    <col min="6" max="6" width="17.140625" style="73" customWidth="1"/>
    <col min="7" max="7" width="15.140625" style="73" customWidth="1"/>
    <col min="8" max="8" width="14.421875" style="73" customWidth="1"/>
    <col min="9" max="9" width="14.8515625" style="73" customWidth="1"/>
    <col min="10" max="10" width="18.421875" style="73" customWidth="1"/>
    <col min="11" max="11" width="17.28125" style="73" customWidth="1"/>
    <col min="12" max="12" width="16.28125" style="73" customWidth="1"/>
    <col min="13" max="16384" width="8.8515625" style="73" customWidth="1"/>
  </cols>
  <sheetData>
    <row r="1" spans="1:12" ht="16.5">
      <c r="A1" s="449"/>
      <c r="B1" s="350"/>
      <c r="C1" s="350"/>
      <c r="D1" s="350"/>
      <c r="E1" s="350"/>
      <c r="F1" s="346"/>
      <c r="G1" s="346"/>
      <c r="H1" s="350"/>
      <c r="I1" s="449"/>
      <c r="J1" s="400"/>
      <c r="K1" s="814" t="s">
        <v>559</v>
      </c>
      <c r="L1" s="814"/>
    </row>
    <row r="2" spans="1:12" ht="16.5">
      <c r="A2" s="449"/>
      <c r="B2" s="816" t="s">
        <v>0</v>
      </c>
      <c r="C2" s="816"/>
      <c r="D2" s="816"/>
      <c r="E2" s="816"/>
      <c r="F2" s="816"/>
      <c r="G2" s="816"/>
      <c r="H2" s="816"/>
      <c r="I2" s="816"/>
      <c r="J2" s="816"/>
      <c r="K2" s="449"/>
      <c r="L2" s="449"/>
    </row>
    <row r="3" spans="1:12" ht="16.5">
      <c r="A3" s="449"/>
      <c r="B3" s="816" t="s">
        <v>656</v>
      </c>
      <c r="C3" s="816"/>
      <c r="D3" s="816"/>
      <c r="E3" s="816"/>
      <c r="F3" s="816"/>
      <c r="G3" s="816"/>
      <c r="H3" s="816"/>
      <c r="I3" s="816"/>
      <c r="J3" s="816"/>
      <c r="K3" s="449"/>
      <c r="L3" s="449"/>
    </row>
    <row r="4" spans="1:12" ht="16.5">
      <c r="A4" s="449"/>
      <c r="B4" s="346"/>
      <c r="C4" s="346"/>
      <c r="D4" s="346"/>
      <c r="E4" s="346"/>
      <c r="F4" s="346"/>
      <c r="G4" s="346"/>
      <c r="H4" s="346"/>
      <c r="I4" s="346"/>
      <c r="J4" s="346"/>
      <c r="K4" s="449"/>
      <c r="L4" s="449"/>
    </row>
    <row r="5" spans="1:12" ht="15" customHeight="1">
      <c r="A5" s="449"/>
      <c r="B5" s="1082" t="s">
        <v>744</v>
      </c>
      <c r="C5" s="1082"/>
      <c r="D5" s="1082"/>
      <c r="E5" s="1082"/>
      <c r="F5" s="1082"/>
      <c r="G5" s="1082"/>
      <c r="H5" s="1082"/>
      <c r="I5" s="1082"/>
      <c r="J5" s="1082"/>
      <c r="K5" s="1082"/>
      <c r="L5" s="1082"/>
    </row>
    <row r="6" spans="1:12" ht="16.5">
      <c r="A6" s="972" t="s">
        <v>164</v>
      </c>
      <c r="B6" s="972"/>
      <c r="C6" s="208" t="s">
        <v>1020</v>
      </c>
      <c r="D6" s="208"/>
      <c r="E6" s="209"/>
      <c r="F6" s="449"/>
      <c r="G6" s="449"/>
      <c r="H6" s="449"/>
      <c r="I6" s="449"/>
      <c r="J6" s="449"/>
      <c r="K6" s="449"/>
      <c r="L6" s="449"/>
    </row>
    <row r="7" spans="1:12" ht="15" customHeight="1">
      <c r="A7" s="1071" t="s">
        <v>110</v>
      </c>
      <c r="B7" s="1068" t="s">
        <v>3</v>
      </c>
      <c r="C7" s="1067" t="s">
        <v>25</v>
      </c>
      <c r="D7" s="1067"/>
      <c r="E7" s="1067"/>
      <c r="F7" s="1067"/>
      <c r="G7" s="1079" t="s">
        <v>26</v>
      </c>
      <c r="H7" s="1080"/>
      <c r="I7" s="1080"/>
      <c r="J7" s="1081"/>
      <c r="K7" s="1068" t="s">
        <v>394</v>
      </c>
      <c r="L7" s="1065" t="s">
        <v>765</v>
      </c>
    </row>
    <row r="8" spans="1:12" ht="30.75" customHeight="1">
      <c r="A8" s="1072"/>
      <c r="B8" s="1074"/>
      <c r="C8" s="1065" t="s">
        <v>253</v>
      </c>
      <c r="D8" s="1068" t="s">
        <v>454</v>
      </c>
      <c r="E8" s="1075" t="s">
        <v>96</v>
      </c>
      <c r="F8" s="1076"/>
      <c r="G8" s="1066" t="s">
        <v>253</v>
      </c>
      <c r="H8" s="1065" t="s">
        <v>454</v>
      </c>
      <c r="I8" s="1077" t="s">
        <v>96</v>
      </c>
      <c r="J8" s="1078"/>
      <c r="K8" s="1074"/>
      <c r="L8" s="1065"/>
    </row>
    <row r="9" spans="1:13" ht="69.75" customHeight="1">
      <c r="A9" s="1073"/>
      <c r="B9" s="1066"/>
      <c r="C9" s="1065"/>
      <c r="D9" s="1066"/>
      <c r="E9" s="450" t="s">
        <v>841</v>
      </c>
      <c r="F9" s="450" t="s">
        <v>455</v>
      </c>
      <c r="G9" s="1065"/>
      <c r="H9" s="1065"/>
      <c r="I9" s="450" t="s">
        <v>841</v>
      </c>
      <c r="J9" s="450" t="s">
        <v>455</v>
      </c>
      <c r="K9" s="1066"/>
      <c r="L9" s="1065"/>
      <c r="M9" s="106"/>
    </row>
    <row r="10" spans="1:13" ht="16.5">
      <c r="A10" s="451">
        <v>1</v>
      </c>
      <c r="B10" s="452">
        <v>2</v>
      </c>
      <c r="C10" s="451">
        <v>3</v>
      </c>
      <c r="D10" s="452">
        <v>4</v>
      </c>
      <c r="E10" s="451">
        <v>5</v>
      </c>
      <c r="F10" s="452">
        <v>6</v>
      </c>
      <c r="G10" s="451">
        <v>7</v>
      </c>
      <c r="H10" s="452">
        <v>8</v>
      </c>
      <c r="I10" s="451">
        <v>9</v>
      </c>
      <c r="J10" s="452">
        <v>10</v>
      </c>
      <c r="K10" s="451" t="s">
        <v>567</v>
      </c>
      <c r="L10" s="452">
        <v>12</v>
      </c>
      <c r="M10" s="106"/>
    </row>
    <row r="11" spans="1:12" s="106" customFormat="1" ht="16.5">
      <c r="A11" s="453">
        <v>1</v>
      </c>
      <c r="B11" s="373" t="s">
        <v>870</v>
      </c>
      <c r="C11" s="454">
        <f>'enrolment vs availed_PY'!G11+'enrolment vs availed_UPY'!G11</f>
        <v>517461</v>
      </c>
      <c r="D11" s="374">
        <v>9554</v>
      </c>
      <c r="E11" s="454">
        <f>'AT-8_Hon_CCH_Pry'!D14</f>
        <v>9430</v>
      </c>
      <c r="F11" s="454">
        <v>0</v>
      </c>
      <c r="G11" s="454">
        <v>0</v>
      </c>
      <c r="H11" s="454">
        <v>0</v>
      </c>
      <c r="I11" s="454">
        <v>0</v>
      </c>
      <c r="J11" s="454">
        <v>0</v>
      </c>
      <c r="K11" s="455">
        <v>9554</v>
      </c>
      <c r="L11" s="456">
        <v>31</v>
      </c>
    </row>
    <row r="12" spans="1:13" ht="16.5">
      <c r="A12" s="457">
        <v>2</v>
      </c>
      <c r="B12" s="458" t="s">
        <v>871</v>
      </c>
      <c r="C12" s="454">
        <f>'enrolment vs availed_PY'!G12+'enrolment vs availed_UPY'!G12</f>
        <v>165604</v>
      </c>
      <c r="D12" s="374">
        <v>2821</v>
      </c>
      <c r="E12" s="454">
        <f>'AT-8_Hon_CCH_Pry'!D15</f>
        <v>2850</v>
      </c>
      <c r="F12" s="459">
        <v>29</v>
      </c>
      <c r="G12" s="454">
        <v>0</v>
      </c>
      <c r="H12" s="454">
        <v>0</v>
      </c>
      <c r="I12" s="454">
        <v>0</v>
      </c>
      <c r="J12" s="454">
        <v>0</v>
      </c>
      <c r="K12" s="460">
        <v>2821</v>
      </c>
      <c r="L12" s="461">
        <v>1995</v>
      </c>
      <c r="M12" s="106"/>
    </row>
    <row r="13" spans="1:13" ht="16.5">
      <c r="A13" s="453">
        <v>3</v>
      </c>
      <c r="B13" s="373" t="s">
        <v>872</v>
      </c>
      <c r="C13" s="454">
        <f>'enrolment vs availed_PY'!G13+'enrolment vs availed_UPY'!G13</f>
        <v>268736</v>
      </c>
      <c r="D13" s="374">
        <v>4665</v>
      </c>
      <c r="E13" s="454">
        <f>'AT-8_Hon_CCH_Pry'!D16</f>
        <v>4575</v>
      </c>
      <c r="F13" s="455">
        <v>0</v>
      </c>
      <c r="G13" s="454">
        <v>0</v>
      </c>
      <c r="H13" s="454">
        <v>0</v>
      </c>
      <c r="I13" s="454">
        <v>0</v>
      </c>
      <c r="J13" s="454">
        <v>0</v>
      </c>
      <c r="K13" s="455">
        <v>4665</v>
      </c>
      <c r="L13" s="456">
        <v>2435</v>
      </c>
      <c r="M13" s="106"/>
    </row>
    <row r="14" spans="1:12" ht="16.5">
      <c r="A14" s="453">
        <v>4</v>
      </c>
      <c r="B14" s="373" t="s">
        <v>873</v>
      </c>
      <c r="C14" s="454">
        <f>'enrolment vs availed_PY'!G14+'enrolment vs availed_UPY'!G14</f>
        <v>485874</v>
      </c>
      <c r="D14" s="374">
        <v>8010</v>
      </c>
      <c r="E14" s="454">
        <f>'AT-8_Hon_CCH_Pry'!D17</f>
        <v>6290</v>
      </c>
      <c r="F14" s="455">
        <v>0</v>
      </c>
      <c r="G14" s="454">
        <v>0</v>
      </c>
      <c r="H14" s="454">
        <v>0</v>
      </c>
      <c r="I14" s="454">
        <v>0</v>
      </c>
      <c r="J14" s="454">
        <v>0</v>
      </c>
      <c r="K14" s="455">
        <v>8010</v>
      </c>
      <c r="L14" s="456">
        <v>3774</v>
      </c>
    </row>
    <row r="15" spans="1:12" ht="16.5">
      <c r="A15" s="453">
        <v>5</v>
      </c>
      <c r="B15" s="373" t="s">
        <v>874</v>
      </c>
      <c r="C15" s="454">
        <f>'enrolment vs availed_PY'!G15+'enrolment vs availed_UPY'!G15</f>
        <v>380518</v>
      </c>
      <c r="D15" s="374">
        <v>6846</v>
      </c>
      <c r="E15" s="454">
        <f>'AT-8_Hon_CCH_Pry'!D18</f>
        <v>6846</v>
      </c>
      <c r="F15" s="455">
        <v>0</v>
      </c>
      <c r="G15" s="454">
        <v>0</v>
      </c>
      <c r="H15" s="454">
        <v>0</v>
      </c>
      <c r="I15" s="454">
        <v>0</v>
      </c>
      <c r="J15" s="454">
        <v>0</v>
      </c>
      <c r="K15" s="455">
        <v>6846</v>
      </c>
      <c r="L15" s="456">
        <v>0</v>
      </c>
    </row>
    <row r="16" spans="1:12" ht="16.5">
      <c r="A16" s="453">
        <v>6</v>
      </c>
      <c r="B16" s="373" t="s">
        <v>875</v>
      </c>
      <c r="C16" s="454">
        <f>'enrolment vs availed_PY'!G16+'enrolment vs availed_UPY'!G16</f>
        <v>117141</v>
      </c>
      <c r="D16" s="374">
        <v>2250</v>
      </c>
      <c r="E16" s="454">
        <f>'AT-8_Hon_CCH_Pry'!D19</f>
        <v>2251</v>
      </c>
      <c r="F16" s="455"/>
      <c r="G16" s="454">
        <v>0</v>
      </c>
      <c r="H16" s="454">
        <v>0</v>
      </c>
      <c r="I16" s="454">
        <v>0</v>
      </c>
      <c r="J16" s="454">
        <v>0</v>
      </c>
      <c r="K16" s="455">
        <v>2250</v>
      </c>
      <c r="L16" s="456">
        <v>1527</v>
      </c>
    </row>
    <row r="17" spans="1:12" ht="16.5">
      <c r="A17" s="453">
        <v>7</v>
      </c>
      <c r="B17" s="373" t="s">
        <v>876</v>
      </c>
      <c r="C17" s="454">
        <f>'enrolment vs availed_PY'!G17+'enrolment vs availed_UPY'!G17</f>
        <v>291747</v>
      </c>
      <c r="D17" s="374">
        <v>4609</v>
      </c>
      <c r="E17" s="454">
        <f>'AT-8_Hon_CCH_Pry'!D20</f>
        <v>4582</v>
      </c>
      <c r="F17" s="455">
        <v>0</v>
      </c>
      <c r="G17" s="454">
        <v>0</v>
      </c>
      <c r="H17" s="454">
        <v>0</v>
      </c>
      <c r="I17" s="454">
        <v>0</v>
      </c>
      <c r="J17" s="454">
        <v>0</v>
      </c>
      <c r="K17" s="455">
        <v>4609</v>
      </c>
      <c r="L17" s="456">
        <v>2289</v>
      </c>
    </row>
    <row r="18" spans="1:12" ht="16.5">
      <c r="A18" s="453">
        <v>8</v>
      </c>
      <c r="B18" s="373" t="s">
        <v>877</v>
      </c>
      <c r="C18" s="454">
        <f>'enrolment vs availed_PY'!G18+'enrolment vs availed_UPY'!G18</f>
        <v>183845</v>
      </c>
      <c r="D18" s="374">
        <v>4165</v>
      </c>
      <c r="E18" s="454">
        <f>'AT-8_Hon_CCH_Pry'!D21</f>
        <v>4165</v>
      </c>
      <c r="F18" s="455">
        <v>0</v>
      </c>
      <c r="G18" s="454">
        <v>0</v>
      </c>
      <c r="H18" s="454">
        <v>0</v>
      </c>
      <c r="I18" s="454">
        <v>0</v>
      </c>
      <c r="J18" s="454">
        <v>0</v>
      </c>
      <c r="K18" s="455">
        <v>4165</v>
      </c>
      <c r="L18" s="456">
        <v>1631</v>
      </c>
    </row>
    <row r="19" spans="1:12" ht="16.5">
      <c r="A19" s="453">
        <v>9</v>
      </c>
      <c r="B19" s="373" t="s">
        <v>878</v>
      </c>
      <c r="C19" s="454">
        <f>'enrolment vs availed_PY'!G19+'enrolment vs availed_UPY'!G19</f>
        <v>272490</v>
      </c>
      <c r="D19" s="374">
        <v>3416</v>
      </c>
      <c r="E19" s="454">
        <f>'AT-8_Hon_CCH_Pry'!D22</f>
        <v>3428</v>
      </c>
      <c r="F19" s="455">
        <v>12</v>
      </c>
      <c r="G19" s="454">
        <v>0</v>
      </c>
      <c r="H19" s="454">
        <v>0</v>
      </c>
      <c r="I19" s="454">
        <v>0</v>
      </c>
      <c r="J19" s="454">
        <v>0</v>
      </c>
      <c r="K19" s="455">
        <v>3416</v>
      </c>
      <c r="L19" s="456">
        <v>200</v>
      </c>
    </row>
    <row r="20" spans="1:12" ht="16.5">
      <c r="A20" s="453">
        <v>10</v>
      </c>
      <c r="B20" s="373" t="s">
        <v>879</v>
      </c>
      <c r="C20" s="454">
        <f>'enrolment vs availed_PY'!G20+'enrolment vs availed_UPY'!G20</f>
        <v>101507</v>
      </c>
      <c r="D20" s="374">
        <v>3390</v>
      </c>
      <c r="E20" s="454">
        <f>'AT-8_Hon_CCH_Pry'!D23</f>
        <v>3435</v>
      </c>
      <c r="F20" s="455">
        <v>45</v>
      </c>
      <c r="G20" s="454">
        <v>0</v>
      </c>
      <c r="H20" s="454">
        <v>0</v>
      </c>
      <c r="I20" s="454">
        <v>0</v>
      </c>
      <c r="J20" s="454">
        <v>0</v>
      </c>
      <c r="K20" s="455">
        <v>3390</v>
      </c>
      <c r="L20" s="456">
        <v>710</v>
      </c>
    </row>
    <row r="21" spans="1:12" ht="16.5">
      <c r="A21" s="453">
        <v>11</v>
      </c>
      <c r="B21" s="373" t="s">
        <v>880</v>
      </c>
      <c r="C21" s="454">
        <f>'enrolment vs availed_PY'!G21+'enrolment vs availed_UPY'!G21</f>
        <v>126840</v>
      </c>
      <c r="D21" s="374">
        <v>2560</v>
      </c>
      <c r="E21" s="454">
        <f>'AT-8_Hon_CCH_Pry'!D24</f>
        <v>2560</v>
      </c>
      <c r="F21" s="455">
        <v>0</v>
      </c>
      <c r="G21" s="454">
        <v>0</v>
      </c>
      <c r="H21" s="454">
        <v>0</v>
      </c>
      <c r="I21" s="454">
        <v>0</v>
      </c>
      <c r="J21" s="454">
        <v>0</v>
      </c>
      <c r="K21" s="455">
        <v>2560</v>
      </c>
      <c r="L21" s="456">
        <v>635</v>
      </c>
    </row>
    <row r="22" spans="1:12" ht="16.5">
      <c r="A22" s="453">
        <v>12</v>
      </c>
      <c r="B22" s="373" t="s">
        <v>881</v>
      </c>
      <c r="C22" s="454">
        <f>'enrolment vs availed_PY'!G22+'enrolment vs availed_UPY'!G22</f>
        <v>160163</v>
      </c>
      <c r="D22" s="374">
        <v>2327</v>
      </c>
      <c r="E22" s="454">
        <f>'AT-8_Hon_CCH_Pry'!D25</f>
        <v>2317</v>
      </c>
      <c r="F22" s="455">
        <v>0</v>
      </c>
      <c r="G22" s="454">
        <v>0</v>
      </c>
      <c r="H22" s="454">
        <v>0</v>
      </c>
      <c r="I22" s="454">
        <v>0</v>
      </c>
      <c r="J22" s="454">
        <v>0</v>
      </c>
      <c r="K22" s="455">
        <v>2327</v>
      </c>
      <c r="L22" s="456">
        <v>0</v>
      </c>
    </row>
    <row r="23" spans="1:12" ht="16.5">
      <c r="A23" s="453">
        <v>13</v>
      </c>
      <c r="B23" s="373" t="s">
        <v>882</v>
      </c>
      <c r="C23" s="454">
        <f>'enrolment vs availed_PY'!G23+'enrolment vs availed_UPY'!G23</f>
        <v>544582</v>
      </c>
      <c r="D23" s="374">
        <v>6774</v>
      </c>
      <c r="E23" s="454">
        <f>'AT-8_Hon_CCH_Pry'!D26</f>
        <v>6774</v>
      </c>
      <c r="F23" s="455"/>
      <c r="G23" s="454">
        <v>0</v>
      </c>
      <c r="H23" s="454">
        <v>0</v>
      </c>
      <c r="I23" s="454">
        <v>0</v>
      </c>
      <c r="J23" s="454">
        <v>0</v>
      </c>
      <c r="K23" s="455">
        <v>6774</v>
      </c>
      <c r="L23" s="456">
        <v>3066</v>
      </c>
    </row>
    <row r="24" spans="1:12" ht="16.5">
      <c r="A24" s="453">
        <v>14</v>
      </c>
      <c r="B24" s="373" t="s">
        <v>883</v>
      </c>
      <c r="C24" s="454">
        <f>'enrolment vs availed_PY'!G24+'enrolment vs availed_UPY'!G24</f>
        <v>256601</v>
      </c>
      <c r="D24" s="374">
        <v>4219</v>
      </c>
      <c r="E24" s="454">
        <f>'AT-8_Hon_CCH_Pry'!D27</f>
        <v>4164</v>
      </c>
      <c r="F24" s="455">
        <v>68</v>
      </c>
      <c r="G24" s="454">
        <v>0</v>
      </c>
      <c r="H24" s="454">
        <v>0</v>
      </c>
      <c r="I24" s="454">
        <v>0</v>
      </c>
      <c r="J24" s="454">
        <v>0</v>
      </c>
      <c r="K24" s="455">
        <v>4219</v>
      </c>
      <c r="L24" s="456">
        <v>106</v>
      </c>
    </row>
    <row r="25" spans="1:12" ht="16.5">
      <c r="A25" s="453">
        <v>15</v>
      </c>
      <c r="B25" s="373" t="s">
        <v>884</v>
      </c>
      <c r="C25" s="454">
        <f>'enrolment vs availed_PY'!G25+'enrolment vs availed_UPY'!G25</f>
        <v>403997</v>
      </c>
      <c r="D25" s="374">
        <v>6264</v>
      </c>
      <c r="E25" s="454">
        <f>'AT-8_Hon_CCH_Pry'!D28</f>
        <v>6288</v>
      </c>
      <c r="F25" s="455">
        <v>24</v>
      </c>
      <c r="G25" s="454">
        <v>0</v>
      </c>
      <c r="H25" s="454">
        <v>0</v>
      </c>
      <c r="I25" s="454">
        <v>0</v>
      </c>
      <c r="J25" s="454">
        <v>0</v>
      </c>
      <c r="K25" s="455">
        <v>6264</v>
      </c>
      <c r="L25" s="456">
        <v>0</v>
      </c>
    </row>
    <row r="26" spans="1:12" ht="16.5">
      <c r="A26" s="453">
        <v>16</v>
      </c>
      <c r="B26" s="373" t="s">
        <v>885</v>
      </c>
      <c r="C26" s="454">
        <f>'enrolment vs availed_PY'!G26+'enrolment vs availed_UPY'!G26</f>
        <v>329262</v>
      </c>
      <c r="D26" s="374">
        <v>5163</v>
      </c>
      <c r="E26" s="454">
        <f>'AT-8_Hon_CCH_Pry'!D29</f>
        <v>5163</v>
      </c>
      <c r="F26" s="455">
        <v>0</v>
      </c>
      <c r="G26" s="454">
        <v>0</v>
      </c>
      <c r="H26" s="454">
        <v>0</v>
      </c>
      <c r="I26" s="454">
        <v>0</v>
      </c>
      <c r="J26" s="454">
        <v>0</v>
      </c>
      <c r="K26" s="455">
        <v>5163</v>
      </c>
      <c r="L26" s="456">
        <v>644</v>
      </c>
    </row>
    <row r="27" spans="1:12" ht="16.5">
      <c r="A27" s="453">
        <v>17</v>
      </c>
      <c r="B27" s="373" t="s">
        <v>886</v>
      </c>
      <c r="C27" s="454">
        <f>'enrolment vs availed_PY'!G27+'enrolment vs availed_UPY'!G27</f>
        <v>699678</v>
      </c>
      <c r="D27" s="374">
        <v>5306</v>
      </c>
      <c r="E27" s="454">
        <f>'AT-8_Hon_CCH_Pry'!D30</f>
        <v>5204</v>
      </c>
      <c r="F27" s="455">
        <v>0</v>
      </c>
      <c r="G27" s="454">
        <v>0</v>
      </c>
      <c r="H27" s="454">
        <v>0</v>
      </c>
      <c r="I27" s="454">
        <v>0</v>
      </c>
      <c r="J27" s="454">
        <v>0</v>
      </c>
      <c r="K27" s="455">
        <v>5306</v>
      </c>
      <c r="L27" s="456">
        <v>0</v>
      </c>
    </row>
    <row r="28" spans="1:12" ht="16.5">
      <c r="A28" s="453">
        <v>18</v>
      </c>
      <c r="B28" s="373" t="s">
        <v>887</v>
      </c>
      <c r="C28" s="454">
        <f>'enrolment vs availed_PY'!G28+'enrolment vs availed_UPY'!G28</f>
        <v>376103</v>
      </c>
      <c r="D28" s="374">
        <v>5765</v>
      </c>
      <c r="E28" s="454">
        <f>'AT-8_Hon_CCH_Pry'!D31</f>
        <v>5667</v>
      </c>
      <c r="F28" s="455">
        <v>0</v>
      </c>
      <c r="G28" s="454">
        <v>0</v>
      </c>
      <c r="H28" s="454">
        <v>0</v>
      </c>
      <c r="I28" s="454">
        <v>0</v>
      </c>
      <c r="J28" s="454">
        <v>0</v>
      </c>
      <c r="K28" s="455">
        <v>5765</v>
      </c>
      <c r="L28" s="456">
        <v>0</v>
      </c>
    </row>
    <row r="29" spans="1:12" ht="16.5">
      <c r="A29" s="453">
        <v>19</v>
      </c>
      <c r="B29" s="373" t="s">
        <v>888</v>
      </c>
      <c r="C29" s="454">
        <f>'enrolment vs availed_PY'!G29+'enrolment vs availed_UPY'!G29</f>
        <v>405767</v>
      </c>
      <c r="D29" s="374">
        <v>6004</v>
      </c>
      <c r="E29" s="454">
        <f>'AT-8_Hon_CCH_Pry'!D32</f>
        <v>5948</v>
      </c>
      <c r="F29" s="455">
        <v>0</v>
      </c>
      <c r="G29" s="454">
        <v>0</v>
      </c>
      <c r="H29" s="454">
        <v>0</v>
      </c>
      <c r="I29" s="454">
        <v>0</v>
      </c>
      <c r="J29" s="454">
        <v>0</v>
      </c>
      <c r="K29" s="455">
        <v>6004</v>
      </c>
      <c r="L29" s="456">
        <v>4217</v>
      </c>
    </row>
    <row r="30" spans="1:12" ht="16.5">
      <c r="A30" s="453">
        <v>20</v>
      </c>
      <c r="B30" s="373" t="s">
        <v>889</v>
      </c>
      <c r="C30" s="454">
        <f>'enrolment vs availed_PY'!G30+'enrolment vs availed_UPY'!G30</f>
        <v>186229</v>
      </c>
      <c r="D30" s="374">
        <v>4106</v>
      </c>
      <c r="E30" s="454">
        <f>'AT-8_Hon_CCH_Pry'!D33</f>
        <v>3489</v>
      </c>
      <c r="F30" s="455">
        <v>0</v>
      </c>
      <c r="G30" s="454">
        <v>0</v>
      </c>
      <c r="H30" s="454">
        <v>0</v>
      </c>
      <c r="I30" s="454">
        <v>0</v>
      </c>
      <c r="J30" s="454">
        <v>0</v>
      </c>
      <c r="K30" s="455">
        <v>4106</v>
      </c>
      <c r="L30" s="456">
        <v>0</v>
      </c>
    </row>
    <row r="31" spans="1:12" ht="16.5">
      <c r="A31" s="453">
        <v>21</v>
      </c>
      <c r="B31" s="373" t="s">
        <v>890</v>
      </c>
      <c r="C31" s="454">
        <f>'enrolment vs availed_PY'!G31+'enrolment vs availed_UPY'!G31</f>
        <v>693677</v>
      </c>
      <c r="D31" s="374">
        <v>9613</v>
      </c>
      <c r="E31" s="454">
        <f>'AT-8_Hon_CCH_Pry'!D34</f>
        <v>9780</v>
      </c>
      <c r="F31" s="455">
        <v>533</v>
      </c>
      <c r="G31" s="454">
        <v>0</v>
      </c>
      <c r="H31" s="454">
        <v>0</v>
      </c>
      <c r="I31" s="454">
        <v>0</v>
      </c>
      <c r="J31" s="454">
        <v>0</v>
      </c>
      <c r="K31" s="455">
        <v>9613</v>
      </c>
      <c r="L31" s="456">
        <v>0</v>
      </c>
    </row>
    <row r="32" spans="1:12" ht="16.5">
      <c r="A32" s="453">
        <v>22</v>
      </c>
      <c r="B32" s="373" t="s">
        <v>891</v>
      </c>
      <c r="C32" s="454">
        <f>'enrolment vs availed_PY'!G32+'enrolment vs availed_UPY'!G32</f>
        <v>189177</v>
      </c>
      <c r="D32" s="374">
        <v>3327</v>
      </c>
      <c r="E32" s="454">
        <f>'AT-8_Hon_CCH_Pry'!D35</f>
        <v>3327</v>
      </c>
      <c r="F32" s="455">
        <v>0</v>
      </c>
      <c r="G32" s="454">
        <v>0</v>
      </c>
      <c r="H32" s="454">
        <v>0</v>
      </c>
      <c r="I32" s="454">
        <v>0</v>
      </c>
      <c r="J32" s="454">
        <v>0</v>
      </c>
      <c r="K32" s="455">
        <v>3327</v>
      </c>
      <c r="L32" s="456">
        <v>0</v>
      </c>
    </row>
    <row r="33" spans="1:12" ht="16.5">
      <c r="A33" s="453">
        <v>23</v>
      </c>
      <c r="B33" s="373" t="s">
        <v>892</v>
      </c>
      <c r="C33" s="454">
        <f>'enrolment vs availed_PY'!G33+'enrolment vs availed_UPY'!G33</f>
        <v>250596</v>
      </c>
      <c r="D33" s="374">
        <v>3452</v>
      </c>
      <c r="E33" s="454">
        <f>'AT-8_Hon_CCH_Pry'!D36</f>
        <v>3386</v>
      </c>
      <c r="F33" s="455">
        <v>0</v>
      </c>
      <c r="G33" s="454">
        <v>0</v>
      </c>
      <c r="H33" s="454">
        <v>0</v>
      </c>
      <c r="I33" s="454">
        <v>0</v>
      </c>
      <c r="J33" s="454">
        <v>0</v>
      </c>
      <c r="K33" s="455">
        <v>3452</v>
      </c>
      <c r="L33" s="456">
        <v>3493</v>
      </c>
    </row>
    <row r="34" spans="1:12" ht="16.5">
      <c r="A34" s="453">
        <v>24</v>
      </c>
      <c r="B34" s="373" t="s">
        <v>893</v>
      </c>
      <c r="C34" s="454">
        <f>'enrolment vs availed_PY'!G34+'enrolment vs availed_UPY'!G34</f>
        <v>762852</v>
      </c>
      <c r="D34" s="374">
        <v>9525</v>
      </c>
      <c r="E34" s="454">
        <f>'AT-8_Hon_CCH_Pry'!D37</f>
        <v>9525</v>
      </c>
      <c r="F34" s="455"/>
      <c r="G34" s="454">
        <v>0</v>
      </c>
      <c r="H34" s="454">
        <v>0</v>
      </c>
      <c r="I34" s="454">
        <v>0</v>
      </c>
      <c r="J34" s="454">
        <v>0</v>
      </c>
      <c r="K34" s="455">
        <v>9525</v>
      </c>
      <c r="L34" s="456"/>
    </row>
    <row r="35" spans="1:12" ht="16.5">
      <c r="A35" s="453">
        <v>25</v>
      </c>
      <c r="B35" s="373" t="s">
        <v>894</v>
      </c>
      <c r="C35" s="454">
        <f>'enrolment vs availed_PY'!G35+'enrolment vs availed_UPY'!G35</f>
        <v>203676</v>
      </c>
      <c r="D35" s="374">
        <v>5220</v>
      </c>
      <c r="E35" s="454">
        <f>'AT-8_Hon_CCH_Pry'!D38</f>
        <v>5139</v>
      </c>
      <c r="F35" s="455">
        <v>0</v>
      </c>
      <c r="G35" s="454">
        <v>0</v>
      </c>
      <c r="H35" s="454">
        <v>0</v>
      </c>
      <c r="I35" s="454">
        <v>0</v>
      </c>
      <c r="J35" s="454">
        <v>0</v>
      </c>
      <c r="K35" s="455">
        <v>5220</v>
      </c>
      <c r="L35" s="456">
        <v>0</v>
      </c>
    </row>
    <row r="36" spans="1:12" ht="16.5">
      <c r="A36" s="453">
        <v>26</v>
      </c>
      <c r="B36" s="373" t="s">
        <v>895</v>
      </c>
      <c r="C36" s="454">
        <f>'enrolment vs availed_PY'!G36+'enrolment vs availed_UPY'!G36</f>
        <v>142390</v>
      </c>
      <c r="D36" s="374">
        <v>5059</v>
      </c>
      <c r="E36" s="454">
        <f>'AT-8_Hon_CCH_Pry'!D39</f>
        <v>4595</v>
      </c>
      <c r="F36" s="455"/>
      <c r="G36" s="454">
        <v>0</v>
      </c>
      <c r="H36" s="454">
        <v>0</v>
      </c>
      <c r="I36" s="454">
        <v>0</v>
      </c>
      <c r="J36" s="454">
        <v>0</v>
      </c>
      <c r="K36" s="455">
        <v>5059</v>
      </c>
      <c r="L36" s="456">
        <v>0</v>
      </c>
    </row>
    <row r="37" spans="1:12" ht="16.5">
      <c r="A37" s="453">
        <v>27</v>
      </c>
      <c r="B37" s="373" t="s">
        <v>896</v>
      </c>
      <c r="C37" s="454">
        <f>'enrolment vs availed_PY'!G37+'enrolment vs availed_UPY'!G37</f>
        <v>305171</v>
      </c>
      <c r="D37" s="374">
        <v>5021</v>
      </c>
      <c r="E37" s="454">
        <f>'AT-8_Hon_CCH_Pry'!D40</f>
        <v>5024</v>
      </c>
      <c r="F37" s="455">
        <v>3</v>
      </c>
      <c r="G37" s="454">
        <v>0</v>
      </c>
      <c r="H37" s="454">
        <v>0</v>
      </c>
      <c r="I37" s="454">
        <v>0</v>
      </c>
      <c r="J37" s="454">
        <v>0</v>
      </c>
      <c r="K37" s="455">
        <v>5021</v>
      </c>
      <c r="L37" s="456">
        <v>881</v>
      </c>
    </row>
    <row r="38" spans="1:12" ht="16.5">
      <c r="A38" s="453">
        <v>28</v>
      </c>
      <c r="B38" s="373" t="s">
        <v>897</v>
      </c>
      <c r="C38" s="454">
        <f>'enrolment vs availed_PY'!G38+'enrolment vs availed_UPY'!G38</f>
        <v>274623</v>
      </c>
      <c r="D38" s="374">
        <v>6234</v>
      </c>
      <c r="E38" s="454">
        <f>'AT-8_Hon_CCH_Pry'!D41</f>
        <v>6224</v>
      </c>
      <c r="F38" s="455">
        <v>200</v>
      </c>
      <c r="G38" s="454">
        <v>0</v>
      </c>
      <c r="H38" s="454">
        <v>0</v>
      </c>
      <c r="I38" s="454">
        <v>0</v>
      </c>
      <c r="J38" s="454">
        <v>0</v>
      </c>
      <c r="K38" s="455">
        <v>6234</v>
      </c>
      <c r="L38" s="456">
        <v>140</v>
      </c>
    </row>
    <row r="39" spans="1:12" ht="16.5">
      <c r="A39" s="453">
        <v>29</v>
      </c>
      <c r="B39" s="373" t="s">
        <v>898</v>
      </c>
      <c r="C39" s="454">
        <f>'enrolment vs availed_PY'!G39+'enrolment vs availed_UPY'!G39</f>
        <v>71391</v>
      </c>
      <c r="D39" s="374">
        <v>2629</v>
      </c>
      <c r="E39" s="454">
        <f>'AT-8_Hon_CCH_Pry'!D42</f>
        <v>2575</v>
      </c>
      <c r="F39" s="455">
        <v>0</v>
      </c>
      <c r="G39" s="454">
        <v>0</v>
      </c>
      <c r="H39" s="454">
        <v>0</v>
      </c>
      <c r="I39" s="454">
        <v>0</v>
      </c>
      <c r="J39" s="454">
        <v>0</v>
      </c>
      <c r="K39" s="455">
        <v>2629</v>
      </c>
      <c r="L39" s="456">
        <v>0</v>
      </c>
    </row>
    <row r="40" spans="1:12" ht="16.5">
      <c r="A40" s="453">
        <v>30</v>
      </c>
      <c r="B40" s="373" t="s">
        <v>899</v>
      </c>
      <c r="C40" s="454">
        <f>'enrolment vs availed_PY'!G40+'enrolment vs availed_UPY'!G40</f>
        <v>513419</v>
      </c>
      <c r="D40" s="374">
        <v>8835</v>
      </c>
      <c r="E40" s="454">
        <f>'AT-8_Hon_CCH_Pry'!D43</f>
        <v>8567</v>
      </c>
      <c r="F40" s="455">
        <v>0</v>
      </c>
      <c r="G40" s="454">
        <v>0</v>
      </c>
      <c r="H40" s="454">
        <v>0</v>
      </c>
      <c r="I40" s="454">
        <v>0</v>
      </c>
      <c r="J40" s="454">
        <v>0</v>
      </c>
      <c r="K40" s="455">
        <v>8835</v>
      </c>
      <c r="L40" s="456">
        <v>0</v>
      </c>
    </row>
    <row r="41" spans="1:12" ht="16.5">
      <c r="A41" s="453">
        <v>31</v>
      </c>
      <c r="B41" s="373" t="s">
        <v>900</v>
      </c>
      <c r="C41" s="454">
        <f>'enrolment vs availed_PY'!G41+'enrolment vs availed_UPY'!G41</f>
        <v>541930</v>
      </c>
      <c r="D41" s="374">
        <v>4196</v>
      </c>
      <c r="E41" s="454">
        <f>'AT-8_Hon_CCH_Pry'!D44</f>
        <v>4187</v>
      </c>
      <c r="F41" s="455">
        <v>0</v>
      </c>
      <c r="G41" s="454">
        <v>0</v>
      </c>
      <c r="H41" s="454">
        <v>0</v>
      </c>
      <c r="I41" s="454">
        <v>0</v>
      </c>
      <c r="J41" s="454">
        <v>0</v>
      </c>
      <c r="K41" s="455">
        <v>4196</v>
      </c>
      <c r="L41" s="456">
        <v>0</v>
      </c>
    </row>
    <row r="42" spans="1:12" ht="16.5">
      <c r="A42" s="453">
        <v>32</v>
      </c>
      <c r="B42" s="373" t="s">
        <v>901</v>
      </c>
      <c r="C42" s="454">
        <f>'enrolment vs availed_PY'!G42+'enrolment vs availed_UPY'!G42</f>
        <v>255173</v>
      </c>
      <c r="D42" s="374">
        <v>3778</v>
      </c>
      <c r="E42" s="454">
        <f>'AT-8_Hon_CCH_Pry'!D45</f>
        <v>3515</v>
      </c>
      <c r="F42" s="455">
        <v>0</v>
      </c>
      <c r="G42" s="454">
        <v>0</v>
      </c>
      <c r="H42" s="454">
        <v>0</v>
      </c>
      <c r="I42" s="454">
        <v>0</v>
      </c>
      <c r="J42" s="454">
        <v>0</v>
      </c>
      <c r="K42" s="455">
        <v>3778</v>
      </c>
      <c r="L42" s="456">
        <v>0</v>
      </c>
    </row>
    <row r="43" spans="1:12" ht="16.5">
      <c r="A43" s="453">
        <v>33</v>
      </c>
      <c r="B43" s="373" t="s">
        <v>902</v>
      </c>
      <c r="C43" s="454">
        <f>'enrolment vs availed_PY'!G43+'enrolment vs availed_UPY'!G43</f>
        <v>98790</v>
      </c>
      <c r="D43" s="374">
        <v>2309</v>
      </c>
      <c r="E43" s="454">
        <f>'AT-8_Hon_CCH_Pry'!D46</f>
        <v>2315</v>
      </c>
      <c r="F43" s="455">
        <v>6</v>
      </c>
      <c r="G43" s="454">
        <v>0</v>
      </c>
      <c r="H43" s="454">
        <v>0</v>
      </c>
      <c r="I43" s="454">
        <v>0</v>
      </c>
      <c r="J43" s="454">
        <v>0</v>
      </c>
      <c r="K43" s="455">
        <v>2309</v>
      </c>
      <c r="L43" s="456">
        <v>0</v>
      </c>
    </row>
    <row r="44" spans="1:12" ht="16.5">
      <c r="A44" s="453">
        <v>34</v>
      </c>
      <c r="B44" s="373" t="s">
        <v>903</v>
      </c>
      <c r="C44" s="454">
        <f>'enrolment vs availed_PY'!G44+'enrolment vs availed_UPY'!G44</f>
        <v>141142</v>
      </c>
      <c r="D44" s="374">
        <v>2708</v>
      </c>
      <c r="E44" s="454">
        <f>'AT-8_Hon_CCH_Pry'!D47</f>
        <v>2310</v>
      </c>
      <c r="F44" s="455">
        <v>0</v>
      </c>
      <c r="G44" s="454">
        <v>0</v>
      </c>
      <c r="H44" s="454">
        <v>0</v>
      </c>
      <c r="I44" s="454">
        <v>0</v>
      </c>
      <c r="J44" s="454">
        <v>0</v>
      </c>
      <c r="K44" s="455">
        <v>2708</v>
      </c>
      <c r="L44" s="456">
        <v>1788</v>
      </c>
    </row>
    <row r="45" spans="1:12" ht="16.5">
      <c r="A45" s="453">
        <v>35</v>
      </c>
      <c r="B45" s="373" t="s">
        <v>904</v>
      </c>
      <c r="C45" s="454">
        <f>'enrolment vs availed_PY'!G45+'enrolment vs availed_UPY'!G45</f>
        <v>293996</v>
      </c>
      <c r="D45" s="374">
        <v>5216</v>
      </c>
      <c r="E45" s="454">
        <f>'AT-8_Hon_CCH_Pry'!D48</f>
        <v>5236</v>
      </c>
      <c r="F45" s="455">
        <v>20</v>
      </c>
      <c r="G45" s="454">
        <v>0</v>
      </c>
      <c r="H45" s="454">
        <v>0</v>
      </c>
      <c r="I45" s="454">
        <v>0</v>
      </c>
      <c r="J45" s="454">
        <v>0</v>
      </c>
      <c r="K45" s="455">
        <v>5216</v>
      </c>
      <c r="L45" s="456">
        <v>2219</v>
      </c>
    </row>
    <row r="46" spans="1:12" ht="16.5">
      <c r="A46" s="462" t="s">
        <v>19</v>
      </c>
      <c r="B46" s="455"/>
      <c r="C46" s="455">
        <f>SUM(C11:C45)</f>
        <v>11012148</v>
      </c>
      <c r="D46" s="455">
        <f aca="true" t="shared" si="0" ref="D46:L46">SUM(D11:D45)</f>
        <v>175336</v>
      </c>
      <c r="E46" s="455">
        <f t="shared" si="0"/>
        <v>171131</v>
      </c>
      <c r="F46" s="455">
        <f t="shared" si="0"/>
        <v>940</v>
      </c>
      <c r="G46" s="455">
        <f t="shared" si="0"/>
        <v>0</v>
      </c>
      <c r="H46" s="455">
        <f t="shared" si="0"/>
        <v>0</v>
      </c>
      <c r="I46" s="455">
        <f t="shared" si="0"/>
        <v>0</v>
      </c>
      <c r="J46" s="455">
        <f t="shared" si="0"/>
        <v>0</v>
      </c>
      <c r="K46" s="455">
        <v>175336</v>
      </c>
      <c r="L46" s="455">
        <f t="shared" si="0"/>
        <v>31781</v>
      </c>
    </row>
    <row r="47" spans="1:12" ht="17.25" customHeight="1">
      <c r="A47" s="1069" t="s">
        <v>117</v>
      </c>
      <c r="B47" s="1069"/>
      <c r="C47" s="1069"/>
      <c r="D47" s="1069"/>
      <c r="E47" s="1069"/>
      <c r="F47" s="1069"/>
      <c r="G47" s="1069"/>
      <c r="H47" s="1069"/>
      <c r="I47" s="1069"/>
      <c r="J47" s="1069"/>
      <c r="K47" s="1070"/>
      <c r="L47" s="1070"/>
    </row>
    <row r="48" spans="1:12" ht="16.5">
      <c r="A48" s="449"/>
      <c r="B48" s="449"/>
      <c r="C48" s="449"/>
      <c r="D48" s="449"/>
      <c r="E48" s="449"/>
      <c r="F48" s="449"/>
      <c r="G48" s="449"/>
      <c r="H48" s="449"/>
      <c r="I48" s="449"/>
      <c r="J48" s="449"/>
      <c r="K48" s="449"/>
      <c r="L48" s="449"/>
    </row>
    <row r="49" spans="1:12" s="16" customFormat="1" ht="15.75" customHeight="1">
      <c r="A49" s="816" t="s">
        <v>12</v>
      </c>
      <c r="B49" s="816"/>
      <c r="C49" s="346"/>
      <c r="D49" s="348"/>
      <c r="E49" s="348"/>
      <c r="F49" s="748" t="s">
        <v>1021</v>
      </c>
      <c r="G49" s="748"/>
      <c r="H49" s="83"/>
      <c r="I49" s="83"/>
      <c r="J49" s="748" t="s">
        <v>1024</v>
      </c>
      <c r="K49" s="748"/>
      <c r="L49" s="748"/>
    </row>
    <row r="50" spans="1:17" s="16" customFormat="1" ht="12.75" customHeight="1">
      <c r="A50" s="350"/>
      <c r="B50" s="350"/>
      <c r="C50" s="350"/>
      <c r="D50" s="350"/>
      <c r="E50" s="350"/>
      <c r="F50" s="748" t="s">
        <v>1022</v>
      </c>
      <c r="G50" s="748"/>
      <c r="H50" s="83"/>
      <c r="I50" s="83"/>
      <c r="J50" s="748" t="s">
        <v>1025</v>
      </c>
      <c r="K50" s="748"/>
      <c r="L50" s="748"/>
      <c r="M50" s="83"/>
      <c r="N50" s="83"/>
      <c r="O50" s="83"/>
      <c r="P50" s="83"/>
      <c r="Q50" s="83"/>
    </row>
    <row r="51" spans="1:17" s="16" customFormat="1" ht="16.5">
      <c r="A51" s="350"/>
      <c r="B51" s="350"/>
      <c r="C51" s="350"/>
      <c r="D51" s="350"/>
      <c r="E51" s="350"/>
      <c r="F51" s="735" t="s">
        <v>1023</v>
      </c>
      <c r="G51" s="735"/>
      <c r="H51" s="36"/>
      <c r="I51" s="36"/>
      <c r="J51" s="735" t="s">
        <v>1023</v>
      </c>
      <c r="K51" s="735"/>
      <c r="L51" s="735"/>
      <c r="M51" s="83"/>
      <c r="N51" s="83"/>
      <c r="O51" s="83"/>
      <c r="P51" s="83"/>
      <c r="Q51" s="83"/>
    </row>
    <row r="52" spans="2:12" s="16" customFormat="1" ht="12.75">
      <c r="B52" s="15"/>
      <c r="C52" s="15"/>
      <c r="D52" s="15"/>
      <c r="E52" s="15"/>
      <c r="F52"/>
      <c r="G52"/>
      <c r="H52"/>
      <c r="I52"/>
      <c r="J52"/>
      <c r="K52"/>
      <c r="L52" s="36"/>
    </row>
  </sheetData>
  <sheetProtection/>
  <mergeCells count="25">
    <mergeCell ref="E8:F8"/>
    <mergeCell ref="I8:J8"/>
    <mergeCell ref="K1:L1"/>
    <mergeCell ref="B2:J2"/>
    <mergeCell ref="B3:J3"/>
    <mergeCell ref="G7:J7"/>
    <mergeCell ref="A6:B6"/>
    <mergeCell ref="B5:L5"/>
    <mergeCell ref="L7:L9"/>
    <mergeCell ref="A49:B49"/>
    <mergeCell ref="C8:C9"/>
    <mergeCell ref="H8:H9"/>
    <mergeCell ref="G8:G9"/>
    <mergeCell ref="C7:F7"/>
    <mergeCell ref="D8:D9"/>
    <mergeCell ref="A47:L47"/>
    <mergeCell ref="A7:A9"/>
    <mergeCell ref="B7:B9"/>
    <mergeCell ref="K7:K9"/>
    <mergeCell ref="F49:G49"/>
    <mergeCell ref="F50:G50"/>
    <mergeCell ref="F51:G51"/>
    <mergeCell ref="J50:L50"/>
    <mergeCell ref="J49:L49"/>
    <mergeCell ref="J51:L51"/>
  </mergeCells>
  <printOptions horizontalCentered="1"/>
  <pageMargins left="0.7086614173228347" right="0.7086614173228347" top="0.2362204724409449" bottom="0" header="0.23" footer="0.31496062992125984"/>
  <pageSetup fitToHeight="1" fitToWidth="1" horizontalDpi="600" verticalDpi="600" orientation="landscape" paperSize="9" scale="64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52"/>
  <sheetViews>
    <sheetView view="pageBreakPreview" zoomScaleSheetLayoutView="100" zoomScalePageLayoutView="0" workbookViewId="0" topLeftCell="A1">
      <pane xSplit="2" ySplit="14" topLeftCell="C2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31" sqref="C31:F31"/>
    </sheetView>
  </sheetViews>
  <sheetFormatPr defaultColWidth="9.140625" defaultRowHeight="12.75"/>
  <cols>
    <col min="1" max="1" width="4.7109375" style="163" customWidth="1"/>
    <col min="2" max="2" width="17.7109375" style="163" customWidth="1"/>
    <col min="3" max="3" width="10.421875" style="163" customWidth="1"/>
    <col min="4" max="4" width="8.8515625" style="163" customWidth="1"/>
    <col min="5" max="5" width="9.8515625" style="163" customWidth="1"/>
    <col min="6" max="6" width="9.00390625" style="163" customWidth="1"/>
    <col min="7" max="8" width="7.8515625" style="163" customWidth="1"/>
    <col min="9" max="9" width="9.7109375" style="163" customWidth="1"/>
    <col min="10" max="10" width="9.57421875" style="163" customWidth="1"/>
    <col min="11" max="11" width="7.8515625" style="163" customWidth="1"/>
    <col min="12" max="12" width="9.00390625" style="163" customWidth="1"/>
    <col min="13" max="14" width="8.00390625" style="163" customWidth="1"/>
    <col min="15" max="15" width="9.140625" style="163" customWidth="1"/>
    <col min="16" max="17" width="8.00390625" style="163" customWidth="1"/>
    <col min="18" max="18" width="10.421875" style="163" customWidth="1"/>
    <col min="19" max="19" width="10.140625" style="163" customWidth="1"/>
    <col min="20" max="20" width="8.00390625" style="163" customWidth="1"/>
    <col min="21" max="21" width="11.00390625" style="163" customWidth="1"/>
    <col min="22" max="22" width="9.28125" style="163" customWidth="1"/>
    <col min="23" max="23" width="9.7109375" style="163" customWidth="1"/>
    <col min="24" max="16384" width="9.140625" style="163" customWidth="1"/>
  </cols>
  <sheetData>
    <row r="1" spans="15:21" ht="15">
      <c r="O1" s="1100" t="s">
        <v>572</v>
      </c>
      <c r="P1" s="1100"/>
      <c r="Q1" s="1100"/>
      <c r="R1" s="1100"/>
      <c r="S1" s="1100"/>
      <c r="T1" s="1100"/>
      <c r="U1" s="1100"/>
    </row>
    <row r="2" spans="6:21" ht="15.75">
      <c r="F2" s="164" t="s">
        <v>0</v>
      </c>
      <c r="G2" s="164"/>
      <c r="H2" s="164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</row>
    <row r="3" spans="6:21" ht="15.75">
      <c r="F3" s="164"/>
      <c r="G3" s="164"/>
      <c r="H3" s="164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</row>
    <row r="4" spans="2:21" ht="18">
      <c r="B4" s="1101" t="s">
        <v>656</v>
      </c>
      <c r="C4" s="1101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</row>
    <row r="6" spans="2:21" ht="15.75">
      <c r="B6" s="1102" t="s">
        <v>837</v>
      </c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</row>
    <row r="8" spans="1:3" ht="12.75">
      <c r="A8" s="208" t="s">
        <v>1020</v>
      </c>
      <c r="B8" s="208"/>
      <c r="C8" s="209"/>
    </row>
    <row r="9" spans="1:23" ht="18">
      <c r="A9" s="166"/>
      <c r="B9" s="166"/>
      <c r="V9" s="1088" t="s">
        <v>261</v>
      </c>
      <c r="W9" s="1088"/>
    </row>
    <row r="10" spans="1:249" ht="12.75" customHeight="1">
      <c r="A10" s="1089" t="s">
        <v>2</v>
      </c>
      <c r="B10" s="1089" t="s">
        <v>111</v>
      </c>
      <c r="C10" s="1091" t="s">
        <v>25</v>
      </c>
      <c r="D10" s="1092"/>
      <c r="E10" s="1092"/>
      <c r="F10" s="1092"/>
      <c r="G10" s="1092"/>
      <c r="H10" s="1092"/>
      <c r="I10" s="1092"/>
      <c r="J10" s="1092"/>
      <c r="K10" s="1093"/>
      <c r="L10" s="1091" t="s">
        <v>26</v>
      </c>
      <c r="M10" s="1092"/>
      <c r="N10" s="1092"/>
      <c r="O10" s="1092"/>
      <c r="P10" s="1092"/>
      <c r="Q10" s="1092"/>
      <c r="R10" s="1092"/>
      <c r="S10" s="1092"/>
      <c r="T10" s="1093"/>
      <c r="U10" s="1094" t="s">
        <v>142</v>
      </c>
      <c r="V10" s="1095"/>
      <c r="W10" s="1096"/>
      <c r="X10" s="168"/>
      <c r="Y10" s="168"/>
      <c r="Z10" s="168"/>
      <c r="AA10" s="168"/>
      <c r="AB10" s="168"/>
      <c r="AC10" s="168"/>
      <c r="AD10" s="169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  <c r="FL10" s="168"/>
      <c r="FM10" s="168"/>
      <c r="FN10" s="168"/>
      <c r="FO10" s="168"/>
      <c r="FP10" s="168"/>
      <c r="FQ10" s="168"/>
      <c r="FR10" s="168"/>
      <c r="FS10" s="168"/>
      <c r="FT10" s="168"/>
      <c r="FU10" s="168"/>
      <c r="FV10" s="168"/>
      <c r="FW10" s="168"/>
      <c r="FX10" s="168"/>
      <c r="FY10" s="168"/>
      <c r="FZ10" s="168"/>
      <c r="GA10" s="168"/>
      <c r="GB10" s="168"/>
      <c r="GC10" s="168"/>
      <c r="GD10" s="168"/>
      <c r="GE10" s="168"/>
      <c r="GF10" s="168"/>
      <c r="GG10" s="168"/>
      <c r="GH10" s="168"/>
      <c r="GI10" s="168"/>
      <c r="GJ10" s="168"/>
      <c r="GK10" s="168"/>
      <c r="GL10" s="168"/>
      <c r="GM10" s="168"/>
      <c r="GN10" s="168"/>
      <c r="GO10" s="168"/>
      <c r="GP10" s="168"/>
      <c r="GQ10" s="168"/>
      <c r="GR10" s="168"/>
      <c r="GS10" s="168"/>
      <c r="GT10" s="168"/>
      <c r="GU10" s="168"/>
      <c r="GV10" s="168"/>
      <c r="GW10" s="168"/>
      <c r="GX10" s="168"/>
      <c r="GY10" s="168"/>
      <c r="GZ10" s="168"/>
      <c r="HA10" s="168"/>
      <c r="HB10" s="168"/>
      <c r="HC10" s="168"/>
      <c r="HD10" s="168"/>
      <c r="HE10" s="168"/>
      <c r="HF10" s="168"/>
      <c r="HG10" s="168"/>
      <c r="HH10" s="168"/>
      <c r="HI10" s="168"/>
      <c r="HJ10" s="168"/>
      <c r="HK10" s="168"/>
      <c r="HL10" s="168"/>
      <c r="HM10" s="168"/>
      <c r="HN10" s="168"/>
      <c r="HO10" s="168"/>
      <c r="HP10" s="168"/>
      <c r="HQ10" s="168"/>
      <c r="HR10" s="168"/>
      <c r="HS10" s="168"/>
      <c r="HT10" s="168"/>
      <c r="HU10" s="168"/>
      <c r="HV10" s="168"/>
      <c r="HW10" s="168"/>
      <c r="HX10" s="168"/>
      <c r="HY10" s="168"/>
      <c r="HZ10" s="168"/>
      <c r="IA10" s="168"/>
      <c r="IB10" s="168"/>
      <c r="IC10" s="168"/>
      <c r="ID10" s="168"/>
      <c r="IE10" s="168"/>
      <c r="IF10" s="168"/>
      <c r="IG10" s="168"/>
      <c r="IH10" s="168"/>
      <c r="II10" s="168"/>
      <c r="IJ10" s="168"/>
      <c r="IK10" s="168"/>
      <c r="IL10" s="168"/>
      <c r="IM10" s="168"/>
      <c r="IN10" s="168"/>
      <c r="IO10" s="168"/>
    </row>
    <row r="11" spans="1:249" ht="12.75" customHeight="1">
      <c r="A11" s="1090"/>
      <c r="B11" s="1090"/>
      <c r="C11" s="1085" t="s">
        <v>177</v>
      </c>
      <c r="D11" s="1086"/>
      <c r="E11" s="1087"/>
      <c r="F11" s="1085" t="s">
        <v>178</v>
      </c>
      <c r="G11" s="1086"/>
      <c r="H11" s="1087"/>
      <c r="I11" s="1085" t="s">
        <v>19</v>
      </c>
      <c r="J11" s="1086"/>
      <c r="K11" s="1087"/>
      <c r="L11" s="1085" t="s">
        <v>177</v>
      </c>
      <c r="M11" s="1086"/>
      <c r="N11" s="1087"/>
      <c r="O11" s="1085" t="s">
        <v>178</v>
      </c>
      <c r="P11" s="1086"/>
      <c r="Q11" s="1087"/>
      <c r="R11" s="1085" t="s">
        <v>19</v>
      </c>
      <c r="S11" s="1086"/>
      <c r="T11" s="1087"/>
      <c r="U11" s="1097"/>
      <c r="V11" s="1098"/>
      <c r="W11" s="1099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8"/>
      <c r="BX11" s="168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68"/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8"/>
      <c r="DO11" s="168"/>
      <c r="DP11" s="168"/>
      <c r="DQ11" s="168"/>
      <c r="DR11" s="168"/>
      <c r="DS11" s="168"/>
      <c r="DT11" s="168"/>
      <c r="DU11" s="168"/>
      <c r="DV11" s="168"/>
      <c r="DW11" s="168"/>
      <c r="DX11" s="168"/>
      <c r="DY11" s="168"/>
      <c r="DZ11" s="168"/>
      <c r="EA11" s="168"/>
      <c r="EB11" s="168"/>
      <c r="EC11" s="168"/>
      <c r="ED11" s="168"/>
      <c r="EE11" s="168"/>
      <c r="EF11" s="168"/>
      <c r="EG11" s="168"/>
      <c r="EH11" s="168"/>
      <c r="EI11" s="168"/>
      <c r="EJ11" s="168"/>
      <c r="EK11" s="168"/>
      <c r="EL11" s="168"/>
      <c r="EM11" s="168"/>
      <c r="EN11" s="168"/>
      <c r="EO11" s="168"/>
      <c r="EP11" s="168"/>
      <c r="EQ11" s="168"/>
      <c r="ER11" s="168"/>
      <c r="ES11" s="168"/>
      <c r="ET11" s="168"/>
      <c r="EU11" s="168"/>
      <c r="EV11" s="168"/>
      <c r="EW11" s="168"/>
      <c r="EX11" s="168"/>
      <c r="EY11" s="168"/>
      <c r="EZ11" s="168"/>
      <c r="FA11" s="168"/>
      <c r="FB11" s="168"/>
      <c r="FC11" s="168"/>
      <c r="FD11" s="168"/>
      <c r="FE11" s="168"/>
      <c r="FF11" s="168"/>
      <c r="FG11" s="168"/>
      <c r="FH11" s="168"/>
      <c r="FI11" s="168"/>
      <c r="FJ11" s="168"/>
      <c r="FK11" s="168"/>
      <c r="FL11" s="168"/>
      <c r="FM11" s="168"/>
      <c r="FN11" s="168"/>
      <c r="FO11" s="168"/>
      <c r="FP11" s="168"/>
      <c r="FQ11" s="168"/>
      <c r="FR11" s="168"/>
      <c r="FS11" s="168"/>
      <c r="FT11" s="168"/>
      <c r="FU11" s="168"/>
      <c r="FV11" s="168"/>
      <c r="FW11" s="168"/>
      <c r="FX11" s="168"/>
      <c r="FY11" s="168"/>
      <c r="FZ11" s="168"/>
      <c r="GA11" s="168"/>
      <c r="GB11" s="168"/>
      <c r="GC11" s="168"/>
      <c r="GD11" s="168"/>
      <c r="GE11" s="168"/>
      <c r="GF11" s="168"/>
      <c r="GG11" s="168"/>
      <c r="GH11" s="168"/>
      <c r="GI11" s="168"/>
      <c r="GJ11" s="168"/>
      <c r="GK11" s="168"/>
      <c r="GL11" s="168"/>
      <c r="GM11" s="168"/>
      <c r="GN11" s="168"/>
      <c r="GO11" s="168"/>
      <c r="GP11" s="168"/>
      <c r="GQ11" s="168"/>
      <c r="GR11" s="168"/>
      <c r="GS11" s="168"/>
      <c r="GT11" s="168"/>
      <c r="GU11" s="168"/>
      <c r="GV11" s="168"/>
      <c r="GW11" s="168"/>
      <c r="GX11" s="168"/>
      <c r="GY11" s="168"/>
      <c r="GZ11" s="168"/>
      <c r="HA11" s="168"/>
      <c r="HB11" s="168"/>
      <c r="HC11" s="168"/>
      <c r="HD11" s="168"/>
      <c r="HE11" s="168"/>
      <c r="HF11" s="168"/>
      <c r="HG11" s="168"/>
      <c r="HH11" s="168"/>
      <c r="HI11" s="168"/>
      <c r="HJ11" s="168"/>
      <c r="HK11" s="168"/>
      <c r="HL11" s="168"/>
      <c r="HM11" s="168"/>
      <c r="HN11" s="168"/>
      <c r="HO11" s="168"/>
      <c r="HP11" s="168"/>
      <c r="HQ11" s="168"/>
      <c r="HR11" s="168"/>
      <c r="HS11" s="168"/>
      <c r="HT11" s="168"/>
      <c r="HU11" s="168"/>
      <c r="HV11" s="168"/>
      <c r="HW11" s="168"/>
      <c r="HX11" s="168"/>
      <c r="HY11" s="168"/>
      <c r="HZ11" s="168"/>
      <c r="IA11" s="168"/>
      <c r="IB11" s="168"/>
      <c r="IC11" s="168"/>
      <c r="ID11" s="168"/>
      <c r="IE11" s="168"/>
      <c r="IF11" s="168"/>
      <c r="IG11" s="168"/>
      <c r="IH11" s="168"/>
      <c r="II11" s="168"/>
      <c r="IJ11" s="168"/>
      <c r="IK11" s="168"/>
      <c r="IL11" s="168"/>
      <c r="IM11" s="168"/>
      <c r="IN11" s="168"/>
      <c r="IO11" s="168"/>
    </row>
    <row r="12" spans="1:249" ht="12.75">
      <c r="A12" s="167"/>
      <c r="B12" s="167"/>
      <c r="C12" s="170" t="s">
        <v>262</v>
      </c>
      <c r="D12" s="171" t="s">
        <v>43</v>
      </c>
      <c r="E12" s="172" t="s">
        <v>44</v>
      </c>
      <c r="F12" s="170" t="s">
        <v>262</v>
      </c>
      <c r="G12" s="171" t="s">
        <v>43</v>
      </c>
      <c r="H12" s="172" t="s">
        <v>44</v>
      </c>
      <c r="I12" s="170" t="s">
        <v>262</v>
      </c>
      <c r="J12" s="171" t="s">
        <v>43</v>
      </c>
      <c r="K12" s="172" t="s">
        <v>44</v>
      </c>
      <c r="L12" s="170" t="s">
        <v>262</v>
      </c>
      <c r="M12" s="171" t="s">
        <v>43</v>
      </c>
      <c r="N12" s="172" t="s">
        <v>44</v>
      </c>
      <c r="O12" s="170" t="s">
        <v>262</v>
      </c>
      <c r="P12" s="171" t="s">
        <v>43</v>
      </c>
      <c r="Q12" s="172" t="s">
        <v>44</v>
      </c>
      <c r="R12" s="170" t="s">
        <v>262</v>
      </c>
      <c r="S12" s="171" t="s">
        <v>43</v>
      </c>
      <c r="T12" s="172" t="s">
        <v>44</v>
      </c>
      <c r="U12" s="167" t="s">
        <v>262</v>
      </c>
      <c r="V12" s="167" t="s">
        <v>43</v>
      </c>
      <c r="W12" s="167" t="s">
        <v>44</v>
      </c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8"/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8"/>
      <c r="DJ12" s="168"/>
      <c r="DK12" s="168"/>
      <c r="DL12" s="168"/>
      <c r="DM12" s="168"/>
      <c r="DN12" s="168"/>
      <c r="DO12" s="168"/>
      <c r="DP12" s="168"/>
      <c r="DQ12" s="168"/>
      <c r="DR12" s="168"/>
      <c r="DS12" s="168"/>
      <c r="DT12" s="168"/>
      <c r="DU12" s="168"/>
      <c r="DV12" s="168"/>
      <c r="DW12" s="168"/>
      <c r="DX12" s="168"/>
      <c r="DY12" s="168"/>
      <c r="DZ12" s="168"/>
      <c r="EA12" s="168"/>
      <c r="EB12" s="168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  <c r="FF12" s="168"/>
      <c r="FG12" s="168"/>
      <c r="FH12" s="168"/>
      <c r="FI12" s="168"/>
      <c r="FJ12" s="168"/>
      <c r="FK12" s="168"/>
      <c r="FL12" s="168"/>
      <c r="FM12" s="168"/>
      <c r="FN12" s="168"/>
      <c r="FO12" s="168"/>
      <c r="FP12" s="168"/>
      <c r="FQ12" s="168"/>
      <c r="FR12" s="168"/>
      <c r="FS12" s="168"/>
      <c r="FT12" s="168"/>
      <c r="FU12" s="168"/>
      <c r="FV12" s="168"/>
      <c r="FW12" s="168"/>
      <c r="FX12" s="168"/>
      <c r="FY12" s="168"/>
      <c r="FZ12" s="168"/>
      <c r="GA12" s="168"/>
      <c r="GB12" s="168"/>
      <c r="GC12" s="168"/>
      <c r="GD12" s="168"/>
      <c r="GE12" s="168"/>
      <c r="GF12" s="168"/>
      <c r="GG12" s="168"/>
      <c r="GH12" s="168"/>
      <c r="GI12" s="168"/>
      <c r="GJ12" s="168"/>
      <c r="GK12" s="168"/>
      <c r="GL12" s="168"/>
      <c r="GM12" s="168"/>
      <c r="GN12" s="168"/>
      <c r="GO12" s="168"/>
      <c r="GP12" s="168"/>
      <c r="GQ12" s="168"/>
      <c r="GR12" s="168"/>
      <c r="GS12" s="168"/>
      <c r="GT12" s="168"/>
      <c r="GU12" s="168"/>
      <c r="GV12" s="168"/>
      <c r="GW12" s="168"/>
      <c r="GX12" s="168"/>
      <c r="GY12" s="168"/>
      <c r="GZ12" s="168"/>
      <c r="HA12" s="168"/>
      <c r="HB12" s="168"/>
      <c r="HC12" s="168"/>
      <c r="HD12" s="168"/>
      <c r="HE12" s="168"/>
      <c r="HF12" s="168"/>
      <c r="HG12" s="168"/>
      <c r="HH12" s="168"/>
      <c r="HI12" s="168"/>
      <c r="HJ12" s="168"/>
      <c r="HK12" s="168"/>
      <c r="HL12" s="168"/>
      <c r="HM12" s="168"/>
      <c r="HN12" s="168"/>
      <c r="HO12" s="168"/>
      <c r="HP12" s="168"/>
      <c r="HQ12" s="168"/>
      <c r="HR12" s="168"/>
      <c r="HS12" s="168"/>
      <c r="HT12" s="168"/>
      <c r="HU12" s="168"/>
      <c r="HV12" s="168"/>
      <c r="HW12" s="168"/>
      <c r="HX12" s="168"/>
      <c r="HY12" s="168"/>
      <c r="HZ12" s="168"/>
      <c r="IA12" s="168"/>
      <c r="IB12" s="168"/>
      <c r="IC12" s="168"/>
      <c r="ID12" s="168"/>
      <c r="IE12" s="168"/>
      <c r="IF12" s="168"/>
      <c r="IG12" s="168"/>
      <c r="IH12" s="168"/>
      <c r="II12" s="168"/>
      <c r="IJ12" s="168"/>
      <c r="IK12" s="168"/>
      <c r="IL12" s="168"/>
      <c r="IM12" s="168"/>
      <c r="IN12" s="168"/>
      <c r="IO12" s="168"/>
    </row>
    <row r="13" spans="1:249" ht="12.75">
      <c r="A13" s="167">
        <v>1</v>
      </c>
      <c r="B13" s="167">
        <v>2</v>
      </c>
      <c r="C13" s="167">
        <v>3</v>
      </c>
      <c r="D13" s="167">
        <v>4</v>
      </c>
      <c r="E13" s="167">
        <v>5</v>
      </c>
      <c r="F13" s="167">
        <v>7</v>
      </c>
      <c r="G13" s="167">
        <v>8</v>
      </c>
      <c r="H13" s="167">
        <v>9</v>
      </c>
      <c r="I13" s="167">
        <v>11</v>
      </c>
      <c r="J13" s="167">
        <v>12</v>
      </c>
      <c r="K13" s="167">
        <v>13</v>
      </c>
      <c r="L13" s="167">
        <v>15</v>
      </c>
      <c r="M13" s="167">
        <v>16</v>
      </c>
      <c r="N13" s="167">
        <v>17</v>
      </c>
      <c r="O13" s="167">
        <v>19</v>
      </c>
      <c r="P13" s="167">
        <v>20</v>
      </c>
      <c r="Q13" s="167">
        <v>21</v>
      </c>
      <c r="R13" s="167">
        <v>23</v>
      </c>
      <c r="S13" s="167">
        <v>24</v>
      </c>
      <c r="T13" s="167">
        <v>25</v>
      </c>
      <c r="U13" s="167">
        <v>27</v>
      </c>
      <c r="V13" s="167">
        <v>28</v>
      </c>
      <c r="W13" s="167">
        <v>29</v>
      </c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3"/>
      <c r="DX13" s="173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  <c r="FL13" s="173"/>
      <c r="FM13" s="173"/>
      <c r="FN13" s="173"/>
      <c r="FO13" s="173"/>
      <c r="FP13" s="173"/>
      <c r="FQ13" s="173"/>
      <c r="FR13" s="173"/>
      <c r="FS13" s="173"/>
      <c r="FT13" s="173"/>
      <c r="FU13" s="173"/>
      <c r="FV13" s="173"/>
      <c r="FW13" s="173"/>
      <c r="FX13" s="173"/>
      <c r="FY13" s="173"/>
      <c r="FZ13" s="173"/>
      <c r="GA13" s="173"/>
      <c r="GB13" s="173"/>
      <c r="GC13" s="173"/>
      <c r="GD13" s="173"/>
      <c r="GE13" s="173"/>
      <c r="GF13" s="173"/>
      <c r="GG13" s="173"/>
      <c r="GH13" s="173"/>
      <c r="GI13" s="173"/>
      <c r="GJ13" s="173"/>
      <c r="GK13" s="173"/>
      <c r="GL13" s="173"/>
      <c r="GM13" s="173"/>
      <c r="GN13" s="173"/>
      <c r="GO13" s="173"/>
      <c r="GP13" s="173"/>
      <c r="GQ13" s="173"/>
      <c r="GR13" s="173"/>
      <c r="GS13" s="173"/>
      <c r="GT13" s="173"/>
      <c r="GU13" s="173"/>
      <c r="GV13" s="173"/>
      <c r="GW13" s="173"/>
      <c r="GX13" s="173"/>
      <c r="GY13" s="173"/>
      <c r="GZ13" s="173"/>
      <c r="HA13" s="173"/>
      <c r="HB13" s="173"/>
      <c r="HC13" s="173"/>
      <c r="HD13" s="173"/>
      <c r="HE13" s="173"/>
      <c r="HF13" s="173"/>
      <c r="HG13" s="173"/>
      <c r="HH13" s="173"/>
      <c r="HI13" s="173"/>
      <c r="HJ13" s="173"/>
      <c r="HK13" s="173"/>
      <c r="HL13" s="173"/>
      <c r="HM13" s="173"/>
      <c r="HN13" s="173"/>
      <c r="HO13" s="173"/>
      <c r="HP13" s="173"/>
      <c r="HQ13" s="173"/>
      <c r="HR13" s="173"/>
      <c r="HS13" s="173"/>
      <c r="HT13" s="173"/>
      <c r="HU13" s="173"/>
      <c r="HV13" s="173"/>
      <c r="HW13" s="173"/>
      <c r="HX13" s="173"/>
      <c r="HY13" s="173"/>
      <c r="HZ13" s="173"/>
      <c r="IA13" s="173"/>
      <c r="IB13" s="173"/>
      <c r="IC13" s="173"/>
      <c r="ID13" s="173"/>
      <c r="IE13" s="173"/>
      <c r="IF13" s="173"/>
      <c r="IG13" s="173"/>
      <c r="IH13" s="173"/>
      <c r="II13" s="173"/>
      <c r="IJ13" s="173"/>
      <c r="IK13" s="173"/>
      <c r="IL13" s="173"/>
      <c r="IM13" s="173"/>
      <c r="IN13" s="173"/>
      <c r="IO13" s="173"/>
    </row>
    <row r="14" spans="1:249" ht="12.75" customHeight="1">
      <c r="A14" s="1083" t="s">
        <v>254</v>
      </c>
      <c r="B14" s="1084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74"/>
      <c r="V14" s="175"/>
      <c r="W14" s="175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  <c r="FK14" s="173"/>
      <c r="FL14" s="173"/>
      <c r="FM14" s="173"/>
      <c r="FN14" s="173"/>
      <c r="FO14" s="173"/>
      <c r="FP14" s="173"/>
      <c r="FQ14" s="173"/>
      <c r="FR14" s="173"/>
      <c r="FS14" s="173"/>
      <c r="FT14" s="173"/>
      <c r="FU14" s="173"/>
      <c r="FV14" s="173"/>
      <c r="FW14" s="173"/>
      <c r="FX14" s="173"/>
      <c r="FY14" s="173"/>
      <c r="FZ14" s="173"/>
      <c r="GA14" s="173"/>
      <c r="GB14" s="173"/>
      <c r="GC14" s="173"/>
      <c r="GD14" s="173"/>
      <c r="GE14" s="173"/>
      <c r="GF14" s="173"/>
      <c r="GG14" s="173"/>
      <c r="GH14" s="173"/>
      <c r="GI14" s="173"/>
      <c r="GJ14" s="173"/>
      <c r="GK14" s="173"/>
      <c r="GL14" s="173"/>
      <c r="GM14" s="173"/>
      <c r="GN14" s="173"/>
      <c r="GO14" s="173"/>
      <c r="GP14" s="173"/>
      <c r="GQ14" s="173"/>
      <c r="GR14" s="173"/>
      <c r="GS14" s="173"/>
      <c r="GT14" s="173"/>
      <c r="GU14" s="173"/>
      <c r="GV14" s="173"/>
      <c r="GW14" s="173"/>
      <c r="GX14" s="173"/>
      <c r="GY14" s="173"/>
      <c r="GZ14" s="173"/>
      <c r="HA14" s="173"/>
      <c r="HB14" s="173"/>
      <c r="HC14" s="173"/>
      <c r="HD14" s="173"/>
      <c r="HE14" s="173"/>
      <c r="HF14" s="173"/>
      <c r="HG14" s="173"/>
      <c r="HH14" s="173"/>
      <c r="HI14" s="173"/>
      <c r="HJ14" s="173"/>
      <c r="HK14" s="173"/>
      <c r="HL14" s="173"/>
      <c r="HM14" s="173"/>
      <c r="HN14" s="173"/>
      <c r="HO14" s="173"/>
      <c r="HP14" s="173"/>
      <c r="HQ14" s="173"/>
      <c r="HR14" s="173"/>
      <c r="HS14" s="173"/>
      <c r="HT14" s="173"/>
      <c r="HU14" s="173"/>
      <c r="HV14" s="173"/>
      <c r="HW14" s="173"/>
      <c r="HX14" s="173"/>
      <c r="HY14" s="173"/>
      <c r="HZ14" s="173"/>
      <c r="IA14" s="173"/>
      <c r="IB14" s="173"/>
      <c r="IC14" s="173"/>
      <c r="ID14" s="173"/>
      <c r="IE14" s="173"/>
      <c r="IF14" s="173"/>
      <c r="IG14" s="173"/>
      <c r="IH14" s="173"/>
      <c r="II14" s="173"/>
      <c r="IJ14" s="173"/>
      <c r="IK14" s="173"/>
      <c r="IL14" s="173"/>
      <c r="IM14" s="173"/>
      <c r="IN14" s="173"/>
      <c r="IO14" s="173"/>
    </row>
    <row r="15" spans="1:23" ht="12.75">
      <c r="A15" s="176">
        <v>1</v>
      </c>
      <c r="B15" s="177" t="s">
        <v>127</v>
      </c>
      <c r="C15" s="519">
        <v>3844.14</v>
      </c>
      <c r="D15" s="519">
        <v>758.71</v>
      </c>
      <c r="E15" s="519">
        <v>455.23</v>
      </c>
      <c r="F15" s="519">
        <v>0</v>
      </c>
      <c r="G15" s="519">
        <v>0</v>
      </c>
      <c r="H15" s="519">
        <v>0</v>
      </c>
      <c r="I15" s="519">
        <f aca="true" t="shared" si="0" ref="I15:K19">C15+F15</f>
        <v>3844.14</v>
      </c>
      <c r="J15" s="519">
        <f t="shared" si="0"/>
        <v>758.71</v>
      </c>
      <c r="K15" s="519">
        <f t="shared" si="0"/>
        <v>455.23</v>
      </c>
      <c r="L15" s="519">
        <v>3774.88</v>
      </c>
      <c r="M15" s="519">
        <v>745.04</v>
      </c>
      <c r="N15" s="519">
        <v>447.02</v>
      </c>
      <c r="O15" s="519">
        <v>0</v>
      </c>
      <c r="P15" s="519">
        <v>0</v>
      </c>
      <c r="Q15" s="519">
        <v>0</v>
      </c>
      <c r="R15" s="519">
        <f aca="true" t="shared" si="1" ref="R15:T19">L15+O15</f>
        <v>3774.88</v>
      </c>
      <c r="S15" s="519">
        <f t="shared" si="1"/>
        <v>745.04</v>
      </c>
      <c r="T15" s="519">
        <f t="shared" si="1"/>
        <v>447.02</v>
      </c>
      <c r="U15" s="519">
        <f aca="true" t="shared" si="2" ref="U15:W19">I15+R15</f>
        <v>7619.02</v>
      </c>
      <c r="V15" s="519">
        <f t="shared" si="2"/>
        <v>1503.75</v>
      </c>
      <c r="W15" s="519">
        <f t="shared" si="2"/>
        <v>902.25</v>
      </c>
    </row>
    <row r="16" spans="1:23" ht="12.75">
      <c r="A16" s="176">
        <v>2</v>
      </c>
      <c r="B16" s="179" t="s">
        <v>496</v>
      </c>
      <c r="C16" s="519">
        <v>31778.26</v>
      </c>
      <c r="D16" s="519">
        <v>6272.02</v>
      </c>
      <c r="E16" s="519">
        <v>3763.21</v>
      </c>
      <c r="F16" s="519">
        <v>21142.79</v>
      </c>
      <c r="G16" s="519">
        <v>4172.92</v>
      </c>
      <c r="H16" s="519">
        <v>2503.75</v>
      </c>
      <c r="I16" s="519">
        <f t="shared" si="0"/>
        <v>52921.05</v>
      </c>
      <c r="J16" s="519">
        <f t="shared" si="0"/>
        <v>10444.94</v>
      </c>
      <c r="K16" s="519">
        <f t="shared" si="0"/>
        <v>6266.96</v>
      </c>
      <c r="L16" s="519">
        <v>31121.77</v>
      </c>
      <c r="M16" s="519">
        <v>6142.45</v>
      </c>
      <c r="N16" s="519">
        <v>3685.47</v>
      </c>
      <c r="O16" s="519">
        <v>20719.88</v>
      </c>
      <c r="P16" s="519">
        <v>4089.45</v>
      </c>
      <c r="Q16" s="519">
        <v>2453.67</v>
      </c>
      <c r="R16" s="519">
        <f t="shared" si="1"/>
        <v>51841.65</v>
      </c>
      <c r="S16" s="519">
        <f t="shared" si="1"/>
        <v>10231.9</v>
      </c>
      <c r="T16" s="519">
        <f t="shared" si="1"/>
        <v>6139.139999999999</v>
      </c>
      <c r="U16" s="519">
        <f t="shared" si="2"/>
        <v>104762.70000000001</v>
      </c>
      <c r="V16" s="519">
        <f t="shared" si="2"/>
        <v>20676.84</v>
      </c>
      <c r="W16" s="519">
        <f t="shared" si="2"/>
        <v>12406.099999999999</v>
      </c>
    </row>
    <row r="17" spans="1:23" ht="25.5">
      <c r="A17" s="176">
        <v>3</v>
      </c>
      <c r="B17" s="179" t="s">
        <v>131</v>
      </c>
      <c r="C17" s="519">
        <v>5350.21</v>
      </c>
      <c r="D17" s="519">
        <f>4280.16+150</f>
        <v>4430.16</v>
      </c>
      <c r="E17" s="519">
        <f>1070.04+50.12</f>
        <v>1120.1599999999999</v>
      </c>
      <c r="F17" s="519">
        <v>3566.8</v>
      </c>
      <c r="G17" s="519">
        <f>2853.44+100</f>
        <v>2953.44</v>
      </c>
      <c r="H17" s="519">
        <f>713.36+34.09</f>
        <v>747.45</v>
      </c>
      <c r="I17" s="519">
        <f t="shared" si="0"/>
        <v>8917.01</v>
      </c>
      <c r="J17" s="519">
        <f t="shared" si="0"/>
        <v>7383.6</v>
      </c>
      <c r="K17" s="519">
        <f t="shared" si="0"/>
        <v>1867.61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f t="shared" si="1"/>
        <v>0</v>
      </c>
      <c r="S17" s="519">
        <f t="shared" si="1"/>
        <v>0</v>
      </c>
      <c r="T17" s="519">
        <f t="shared" si="1"/>
        <v>0</v>
      </c>
      <c r="U17" s="519">
        <f t="shared" si="2"/>
        <v>8917.01</v>
      </c>
      <c r="V17" s="519">
        <f t="shared" si="2"/>
        <v>7383.6</v>
      </c>
      <c r="W17" s="519">
        <f t="shared" si="2"/>
        <v>1867.61</v>
      </c>
    </row>
    <row r="18" spans="1:23" ht="25.5">
      <c r="A18" s="176">
        <v>4</v>
      </c>
      <c r="B18" s="179" t="s">
        <v>129</v>
      </c>
      <c r="C18" s="519">
        <v>1264.52</v>
      </c>
      <c r="D18" s="519">
        <v>0</v>
      </c>
      <c r="E18" s="519">
        <v>0</v>
      </c>
      <c r="F18" s="519">
        <v>0</v>
      </c>
      <c r="G18" s="519">
        <v>0</v>
      </c>
      <c r="H18" s="519">
        <v>0</v>
      </c>
      <c r="I18" s="519">
        <f t="shared" si="0"/>
        <v>1264.52</v>
      </c>
      <c r="J18" s="519">
        <f t="shared" si="0"/>
        <v>0</v>
      </c>
      <c r="K18" s="519">
        <f t="shared" si="0"/>
        <v>0</v>
      </c>
      <c r="L18" s="519">
        <v>1241.74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f t="shared" si="1"/>
        <v>1241.74</v>
      </c>
      <c r="S18" s="519">
        <f t="shared" si="1"/>
        <v>0</v>
      </c>
      <c r="T18" s="519">
        <f t="shared" si="1"/>
        <v>0</v>
      </c>
      <c r="U18" s="519">
        <f t="shared" si="2"/>
        <v>2506.26</v>
      </c>
      <c r="V18" s="519">
        <f t="shared" si="2"/>
        <v>0</v>
      </c>
      <c r="W18" s="519">
        <f t="shared" si="2"/>
        <v>0</v>
      </c>
    </row>
    <row r="19" spans="1:23" ht="12.75">
      <c r="A19" s="176">
        <v>5</v>
      </c>
      <c r="B19" s="177" t="s">
        <v>130</v>
      </c>
      <c r="C19" s="178">
        <v>760.27</v>
      </c>
      <c r="D19" s="178">
        <v>203.6</v>
      </c>
      <c r="E19" s="178">
        <v>95.19</v>
      </c>
      <c r="F19" s="178">
        <v>0</v>
      </c>
      <c r="G19" s="178">
        <v>0</v>
      </c>
      <c r="H19" s="178">
        <v>0</v>
      </c>
      <c r="I19" s="178">
        <f t="shared" si="0"/>
        <v>760.27</v>
      </c>
      <c r="J19" s="178">
        <f t="shared" si="0"/>
        <v>203.6</v>
      </c>
      <c r="K19" s="178">
        <f t="shared" si="0"/>
        <v>95.19</v>
      </c>
      <c r="L19" s="178">
        <v>650.49</v>
      </c>
      <c r="M19" s="178">
        <v>123.97</v>
      </c>
      <c r="N19" s="178">
        <v>74.39</v>
      </c>
      <c r="O19" s="178">
        <v>0</v>
      </c>
      <c r="P19" s="178">
        <v>0</v>
      </c>
      <c r="Q19" s="178">
        <v>0</v>
      </c>
      <c r="R19" s="178">
        <f t="shared" si="1"/>
        <v>650.49</v>
      </c>
      <c r="S19" s="178">
        <f t="shared" si="1"/>
        <v>123.97</v>
      </c>
      <c r="T19" s="178">
        <f t="shared" si="1"/>
        <v>74.39</v>
      </c>
      <c r="U19" s="178">
        <f t="shared" si="2"/>
        <v>1410.76</v>
      </c>
      <c r="V19" s="178">
        <f>J19+S19+164</f>
        <v>491.57</v>
      </c>
      <c r="W19" s="178">
        <f>K19+T19+100.13</f>
        <v>269.71</v>
      </c>
    </row>
    <row r="20" spans="1:23" ht="12.75" customHeight="1">
      <c r="A20" s="1083" t="s">
        <v>255</v>
      </c>
      <c r="B20" s="1084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</row>
    <row r="21" spans="1:23" ht="12.75">
      <c r="A21" s="176">
        <v>6</v>
      </c>
      <c r="B21" s="177" t="s">
        <v>132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</row>
    <row r="22" spans="1:23" ht="12.75">
      <c r="A22" s="176">
        <v>7</v>
      </c>
      <c r="B22" s="177" t="s">
        <v>133</v>
      </c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</row>
    <row r="23" spans="1:23" ht="12.75">
      <c r="A23" s="180" t="s">
        <v>7</v>
      </c>
      <c r="B23" s="181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</row>
    <row r="24" spans="1:23" ht="12.75">
      <c r="A24" s="180" t="s">
        <v>7</v>
      </c>
      <c r="B24" s="181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</row>
    <row r="25" spans="1:23" ht="12.75">
      <c r="A25" s="176" t="s">
        <v>19</v>
      </c>
      <c r="B25" s="177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</row>
    <row r="26" spans="1:2" ht="12.75">
      <c r="A26" s="182"/>
      <c r="B26" s="182"/>
    </row>
    <row r="29" spans="3:21" ht="12.75" customHeight="1">
      <c r="C29" s="748" t="s">
        <v>1021</v>
      </c>
      <c r="D29" s="748"/>
      <c r="E29" s="748"/>
      <c r="F29" s="748"/>
      <c r="P29" s="748" t="s">
        <v>1024</v>
      </c>
      <c r="Q29" s="748"/>
      <c r="R29" s="748"/>
      <c r="S29" s="748"/>
      <c r="T29" s="748"/>
      <c r="U29" s="748"/>
    </row>
    <row r="30" spans="1:21" ht="12.75" customHeight="1">
      <c r="A30" s="606"/>
      <c r="B30" s="606"/>
      <c r="C30" s="748" t="s">
        <v>1022</v>
      </c>
      <c r="D30" s="748"/>
      <c r="E30" s="748"/>
      <c r="F30" s="748"/>
      <c r="I30" s="606"/>
      <c r="J30" s="183"/>
      <c r="K30" s="183"/>
      <c r="L30" s="183"/>
      <c r="M30" s="183"/>
      <c r="N30" s="183"/>
      <c r="O30" s="606"/>
      <c r="P30" s="748" t="s">
        <v>1025</v>
      </c>
      <c r="Q30" s="748"/>
      <c r="R30" s="748"/>
      <c r="S30" s="748"/>
      <c r="T30" s="748"/>
      <c r="U30" s="748"/>
    </row>
    <row r="31" spans="3:21" ht="12.75">
      <c r="C31" s="735" t="s">
        <v>1023</v>
      </c>
      <c r="D31" s="735"/>
      <c r="E31" s="735"/>
      <c r="F31" s="735"/>
      <c r="P31" s="735" t="s">
        <v>1023</v>
      </c>
      <c r="Q31" s="735"/>
      <c r="R31" s="735"/>
      <c r="S31" s="735"/>
      <c r="T31" s="735"/>
      <c r="U31" s="735"/>
    </row>
    <row r="32" spans="1:21" ht="15.75">
      <c r="A32" s="184" t="s">
        <v>12</v>
      </c>
      <c r="B32" s="184"/>
      <c r="C32"/>
      <c r="D32"/>
      <c r="E32"/>
      <c r="F32"/>
      <c r="G32"/>
      <c r="H32"/>
      <c r="I32" s="184"/>
      <c r="J32" s="184"/>
      <c r="K32" s="184"/>
      <c r="L32" s="184"/>
      <c r="M32" s="184"/>
      <c r="N32" s="184"/>
      <c r="R32" s="602"/>
      <c r="S32" s="602"/>
      <c r="T32" s="602"/>
      <c r="U32" s="602"/>
    </row>
    <row r="33" spans="1:21" ht="15.75" customHeight="1">
      <c r="A33" s="602"/>
      <c r="B33" s="602"/>
      <c r="C33" s="602"/>
      <c r="D33" s="602"/>
      <c r="E33" s="602"/>
      <c r="F33" s="602"/>
      <c r="G33" s="602"/>
      <c r="H33" s="602"/>
      <c r="I33" s="602"/>
      <c r="J33" s="602"/>
      <c r="K33" s="602"/>
      <c r="L33" s="602"/>
      <c r="M33" s="602"/>
      <c r="N33" s="602"/>
      <c r="O33" s="602"/>
      <c r="P33" s="602"/>
      <c r="Q33" s="602"/>
      <c r="R33" s="602"/>
      <c r="S33" s="602"/>
      <c r="T33" s="602"/>
      <c r="U33" s="602"/>
    </row>
    <row r="34" spans="1:21" ht="15.75" customHeight="1">
      <c r="A34" s="602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  <c r="M34" s="602"/>
      <c r="N34" s="602"/>
      <c r="O34" s="602"/>
      <c r="P34" s="602"/>
      <c r="Q34" s="602"/>
      <c r="R34" s="602"/>
      <c r="S34" s="602"/>
      <c r="T34" s="602"/>
      <c r="U34" s="602"/>
    </row>
    <row r="35" spans="18:23" ht="12.75">
      <c r="R35" s="1103" t="s">
        <v>84</v>
      </c>
      <c r="S35" s="1103"/>
      <c r="T35" s="1103"/>
      <c r="U35" s="1103"/>
      <c r="V35" s="1103"/>
      <c r="W35" s="1103"/>
    </row>
    <row r="37" spans="1:31" ht="12.75">
      <c r="A37" s="1089" t="s">
        <v>2</v>
      </c>
      <c r="B37" s="1089" t="s">
        <v>111</v>
      </c>
      <c r="C37" s="1091" t="s">
        <v>25</v>
      </c>
      <c r="D37" s="1092"/>
      <c r="E37" s="1092"/>
      <c r="F37" s="1092"/>
      <c r="G37" s="1092"/>
      <c r="H37" s="1092"/>
      <c r="I37" s="1092"/>
      <c r="J37" s="1092"/>
      <c r="K37" s="1093"/>
      <c r="L37" s="1091" t="s">
        <v>26</v>
      </c>
      <c r="M37" s="1092"/>
      <c r="N37" s="1092"/>
      <c r="O37" s="1092"/>
      <c r="P37" s="1092"/>
      <c r="Q37" s="1092"/>
      <c r="R37" s="1092"/>
      <c r="S37" s="1092"/>
      <c r="T37" s="1093"/>
      <c r="U37" s="1094" t="s">
        <v>142</v>
      </c>
      <c r="V37" s="1095"/>
      <c r="W37" s="1096"/>
      <c r="AE37" s="163">
        <f>6.18-3.71</f>
        <v>2.4699999999999998</v>
      </c>
    </row>
    <row r="38" spans="1:23" ht="12.75">
      <c r="A38" s="1090"/>
      <c r="B38" s="1090"/>
      <c r="C38" s="1085" t="s">
        <v>177</v>
      </c>
      <c r="D38" s="1086"/>
      <c r="E38" s="1087"/>
      <c r="F38" s="1085" t="s">
        <v>178</v>
      </c>
      <c r="G38" s="1086"/>
      <c r="H38" s="1087"/>
      <c r="I38" s="1085" t="s">
        <v>19</v>
      </c>
      <c r="J38" s="1086"/>
      <c r="K38" s="1087"/>
      <c r="L38" s="1085" t="s">
        <v>177</v>
      </c>
      <c r="M38" s="1086"/>
      <c r="N38" s="1087"/>
      <c r="O38" s="1085" t="s">
        <v>178</v>
      </c>
      <c r="P38" s="1086"/>
      <c r="Q38" s="1087"/>
      <c r="R38" s="1085" t="s">
        <v>19</v>
      </c>
      <c r="S38" s="1086"/>
      <c r="T38" s="1087"/>
      <c r="U38" s="1097"/>
      <c r="V38" s="1098"/>
      <c r="W38" s="1099"/>
    </row>
    <row r="39" spans="1:23" ht="12.75">
      <c r="A39" s="167"/>
      <c r="B39" s="167"/>
      <c r="C39" s="170" t="s">
        <v>262</v>
      </c>
      <c r="D39" s="171" t="s">
        <v>43</v>
      </c>
      <c r="E39" s="172" t="s">
        <v>44</v>
      </c>
      <c r="F39" s="170" t="s">
        <v>262</v>
      </c>
      <c r="G39" s="171" t="s">
        <v>43</v>
      </c>
      <c r="H39" s="172" t="s">
        <v>44</v>
      </c>
      <c r="I39" s="170" t="s">
        <v>262</v>
      </c>
      <c r="J39" s="171" t="s">
        <v>43</v>
      </c>
      <c r="K39" s="172" t="s">
        <v>44</v>
      </c>
      <c r="L39" s="170" t="s">
        <v>262</v>
      </c>
      <c r="M39" s="171" t="s">
        <v>43</v>
      </c>
      <c r="N39" s="172" t="s">
        <v>44</v>
      </c>
      <c r="O39" s="170" t="s">
        <v>262</v>
      </c>
      <c r="P39" s="171" t="s">
        <v>43</v>
      </c>
      <c r="Q39" s="172" t="s">
        <v>44</v>
      </c>
      <c r="R39" s="170" t="s">
        <v>262</v>
      </c>
      <c r="S39" s="171" t="s">
        <v>43</v>
      </c>
      <c r="T39" s="172" t="s">
        <v>44</v>
      </c>
      <c r="U39" s="167" t="s">
        <v>262</v>
      </c>
      <c r="V39" s="167" t="s">
        <v>43</v>
      </c>
      <c r="W39" s="167" t="s">
        <v>44</v>
      </c>
    </row>
    <row r="40" spans="1:23" ht="12.75">
      <c r="A40" s="167">
        <v>1</v>
      </c>
      <c r="B40" s="167">
        <v>2</v>
      </c>
      <c r="C40" s="167">
        <v>3</v>
      </c>
      <c r="D40" s="167">
        <v>4</v>
      </c>
      <c r="E40" s="167">
        <v>5</v>
      </c>
      <c r="F40" s="167">
        <v>7</v>
      </c>
      <c r="G40" s="167">
        <v>8</v>
      </c>
      <c r="H40" s="167">
        <v>9</v>
      </c>
      <c r="I40" s="167">
        <v>11</v>
      </c>
      <c r="J40" s="167">
        <v>12</v>
      </c>
      <c r="K40" s="167">
        <v>13</v>
      </c>
      <c r="L40" s="167">
        <v>15</v>
      </c>
      <c r="M40" s="167">
        <v>16</v>
      </c>
      <c r="N40" s="167">
        <v>17</v>
      </c>
      <c r="O40" s="167">
        <v>19</v>
      </c>
      <c r="P40" s="167">
        <v>20</v>
      </c>
      <c r="Q40" s="167">
        <v>21</v>
      </c>
      <c r="R40" s="167">
        <v>23</v>
      </c>
      <c r="S40" s="167">
        <v>24</v>
      </c>
      <c r="T40" s="167">
        <v>25</v>
      </c>
      <c r="U40" s="167">
        <v>27</v>
      </c>
      <c r="V40" s="167">
        <v>28</v>
      </c>
      <c r="W40" s="167">
        <v>29</v>
      </c>
    </row>
    <row r="41" spans="1:27" ht="12.75">
      <c r="A41" s="1083" t="s">
        <v>254</v>
      </c>
      <c r="B41" s="1084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74"/>
      <c r="V41" s="175"/>
      <c r="W41" s="175"/>
      <c r="X41" s="163" t="s">
        <v>25</v>
      </c>
      <c r="Y41" s="163" t="s">
        <v>1002</v>
      </c>
      <c r="Z41" s="163" t="s">
        <v>1001</v>
      </c>
      <c r="AA41" s="163" t="s">
        <v>1003</v>
      </c>
    </row>
    <row r="42" spans="1:26" ht="12.75">
      <c r="A42" s="176">
        <v>1</v>
      </c>
      <c r="B42" s="177" t="s">
        <v>127</v>
      </c>
      <c r="C42" s="519">
        <f>X42*3000*0.76/100000</f>
        <v>3847.837326</v>
      </c>
      <c r="D42" s="519">
        <f>X42*3000*0.15/100000</f>
        <v>759.4415774999999</v>
      </c>
      <c r="E42" s="519">
        <f>X42*0.09*3000/100000</f>
        <v>455.6649464999999</v>
      </c>
      <c r="F42" s="519">
        <v>0</v>
      </c>
      <c r="G42" s="519">
        <v>0</v>
      </c>
      <c r="H42" s="519">
        <v>0</v>
      </c>
      <c r="I42" s="519">
        <f>C42+F42</f>
        <v>3847.837326</v>
      </c>
      <c r="J42" s="519">
        <f>D42+G42</f>
        <v>759.4415774999999</v>
      </c>
      <c r="K42" s="519">
        <f>E42+H42</f>
        <v>455.6649464999999</v>
      </c>
      <c r="L42" s="519">
        <f>Z42*0.76*3000/100000</f>
        <v>3774.6584152199994</v>
      </c>
      <c r="M42" s="519">
        <f>Z42*0.15*3000/100000</f>
        <v>744.9983714249998</v>
      </c>
      <c r="N42" s="519">
        <f>Z42*0.09*3000/100000</f>
        <v>446.9990228549999</v>
      </c>
      <c r="O42" s="519">
        <v>0</v>
      </c>
      <c r="P42" s="519">
        <v>0</v>
      </c>
      <c r="Q42" s="519">
        <v>0</v>
      </c>
      <c r="R42" s="519">
        <f>L42+O42</f>
        <v>3774.6584152199994</v>
      </c>
      <c r="S42" s="519">
        <f>M42+P42</f>
        <v>744.9983714249998</v>
      </c>
      <c r="T42" s="519">
        <f>N42+Q42</f>
        <v>446.9990228549999</v>
      </c>
      <c r="U42" s="519">
        <f>C42+R42</f>
        <v>7622.495741219999</v>
      </c>
      <c r="V42" s="519">
        <f>D42+S42</f>
        <v>1504.4399489249997</v>
      </c>
      <c r="W42" s="519">
        <f>E42+T42</f>
        <v>902.6639693549998</v>
      </c>
      <c r="X42" s="163">
        <f>'AT27_Req_FG_CA_Pry'!I46+'AT27C_Req_FG_Drought -Pry '!E46</f>
        <v>168764.79499999998</v>
      </c>
      <c r="Z42" s="163">
        <f>'AT27A_Req_FG_CA_U Pry '!I46+'AT27B_Req_FG_CA_N CLP'!E46+'AT27D_Req_FG_Drought -UPry '!E46</f>
        <v>165555.19364999997</v>
      </c>
    </row>
    <row r="43" spans="1:28" ht="12.75">
      <c r="A43" s="176">
        <v>2</v>
      </c>
      <c r="B43" s="179" t="s">
        <v>496</v>
      </c>
      <c r="C43" s="519">
        <f>((X43*1.65*240*0.76/100000)+(Y43*50*1.65*0.76/100000))</f>
        <v>21163.105293</v>
      </c>
      <c r="D43" s="519">
        <v>10440</v>
      </c>
      <c r="E43" s="519"/>
      <c r="F43" s="519"/>
      <c r="G43" s="519"/>
      <c r="H43" s="519"/>
      <c r="I43" s="519"/>
      <c r="J43" s="519"/>
      <c r="K43" s="519"/>
      <c r="L43" s="519">
        <f>((Z43*0.76*2.47*240/100000)+(AA43*313*0.76*2.47/100000)+(AB43*50*2.47*0.76/100000))</f>
        <v>20721.198635644003</v>
      </c>
      <c r="M43" s="519"/>
      <c r="N43" s="519"/>
      <c r="O43" s="519"/>
      <c r="P43" s="519"/>
      <c r="Q43" s="519"/>
      <c r="R43" s="519"/>
      <c r="S43" s="519"/>
      <c r="T43" s="519"/>
      <c r="U43" s="519"/>
      <c r="V43" s="519"/>
      <c r="W43" s="178"/>
      <c r="X43" s="163">
        <f>'AT27_Req_FG_CA_Pry'!G46</f>
        <v>6657790</v>
      </c>
      <c r="Y43" s="163">
        <f>'AT27C_Req_FG_Drought -Pry '!C46</f>
        <v>1795567</v>
      </c>
      <c r="Z43" s="163">
        <f>'AT27A_Req_FG_CA_U Pry '!G46</f>
        <v>4354358</v>
      </c>
      <c r="AA43" s="163">
        <f>'AT27B_Req_FG_CA_N CLP'!C46</f>
        <v>5589</v>
      </c>
      <c r="AB43" s="163">
        <f>'AT27D_Req_FG_Drought -UPry '!C46</f>
        <v>1140803</v>
      </c>
    </row>
    <row r="44" spans="1:25" ht="25.5">
      <c r="A44" s="176">
        <v>3</v>
      </c>
      <c r="B44" s="179" t="s">
        <v>131</v>
      </c>
      <c r="C44" s="519">
        <f>((X44*400*10*0.5/100000)+(Y44*400*2*0.5/100000))</f>
        <v>3633.8439999999996</v>
      </c>
      <c r="D44" s="519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178"/>
      <c r="X44" s="163">
        <f>'AT-30_Coook-cum-Helper'!K46</f>
        <v>175336</v>
      </c>
      <c r="Y44" s="163">
        <f>'AT-30_Coook-cum-Helper'!L46</f>
        <v>31781</v>
      </c>
    </row>
    <row r="45" spans="1:23" ht="25.5">
      <c r="A45" s="176">
        <v>4</v>
      </c>
      <c r="B45" s="179" t="s">
        <v>129</v>
      </c>
      <c r="C45" s="519">
        <f>X42*750/100000</f>
        <v>1265.7359625</v>
      </c>
      <c r="D45" s="519">
        <f>696.8945/1.8*100</f>
        <v>38716.36111111111</v>
      </c>
      <c r="E45" s="519">
        <f>38716.6-27064.93-7850.18-3041</f>
        <v>760.489999999998</v>
      </c>
      <c r="F45" s="519"/>
      <c r="G45" s="519"/>
      <c r="H45" s="519"/>
      <c r="I45" s="519"/>
      <c r="J45" s="519"/>
      <c r="K45" s="519"/>
      <c r="L45" s="519">
        <f>Z42*750/100000</f>
        <v>1241.6639523749998</v>
      </c>
      <c r="M45" s="519"/>
      <c r="N45" s="519"/>
      <c r="O45" s="519"/>
      <c r="P45" s="519"/>
      <c r="Q45" s="519"/>
      <c r="R45" s="519"/>
      <c r="S45" s="519"/>
      <c r="T45" s="519"/>
      <c r="U45" s="519"/>
      <c r="V45" s="519"/>
      <c r="W45" s="178"/>
    </row>
    <row r="46" spans="1:23" ht="12.75">
      <c r="A46" s="176">
        <v>5</v>
      </c>
      <c r="B46" s="177" t="s">
        <v>130</v>
      </c>
      <c r="C46" s="178">
        <f>(C15+C16+C17+C18)*1.8/100</f>
        <v>760.2683400000001</v>
      </c>
      <c r="D46" s="178">
        <f aca="true" t="shared" si="3" ref="D46:W46">(D15+D16+D17+D18)*1.8/100</f>
        <v>206.29602</v>
      </c>
      <c r="E46" s="178">
        <f t="shared" si="3"/>
        <v>96.09480000000002</v>
      </c>
      <c r="F46" s="178">
        <f t="shared" si="3"/>
        <v>444.77262</v>
      </c>
      <c r="G46" s="178">
        <f t="shared" si="3"/>
        <v>128.27448</v>
      </c>
      <c r="H46" s="178">
        <f t="shared" si="3"/>
        <v>58.5216</v>
      </c>
      <c r="I46" s="178">
        <f t="shared" si="3"/>
        <v>1205.04096</v>
      </c>
      <c r="J46" s="178">
        <f t="shared" si="3"/>
        <v>334.57050000000004</v>
      </c>
      <c r="K46" s="178">
        <f t="shared" si="3"/>
        <v>154.61640000000003</v>
      </c>
      <c r="L46" s="178">
        <f t="shared" si="3"/>
        <v>650.4910199999999</v>
      </c>
      <c r="M46" s="178">
        <f t="shared" si="3"/>
        <v>123.97482</v>
      </c>
      <c r="N46" s="178">
        <f t="shared" si="3"/>
        <v>74.38482</v>
      </c>
      <c r="O46" s="178">
        <f t="shared" si="3"/>
        <v>372.95784</v>
      </c>
      <c r="P46" s="178">
        <f t="shared" si="3"/>
        <v>73.6101</v>
      </c>
      <c r="Q46" s="178">
        <f t="shared" si="3"/>
        <v>44.16606000000001</v>
      </c>
      <c r="R46" s="178">
        <f t="shared" si="3"/>
        <v>1023.44886</v>
      </c>
      <c r="S46" s="178">
        <f t="shared" si="3"/>
        <v>197.58491999999998</v>
      </c>
      <c r="T46" s="178">
        <f t="shared" si="3"/>
        <v>118.55087999999999</v>
      </c>
      <c r="U46" s="178">
        <f t="shared" si="3"/>
        <v>2228.4898200000002</v>
      </c>
      <c r="V46" s="178">
        <f t="shared" si="3"/>
        <v>532.15542</v>
      </c>
      <c r="W46" s="178">
        <f t="shared" si="3"/>
        <v>273.16728</v>
      </c>
    </row>
    <row r="47" spans="1:23" ht="12.75">
      <c r="A47" s="1083" t="s">
        <v>255</v>
      </c>
      <c r="B47" s="1084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3" ht="12.75">
      <c r="A48" s="176">
        <v>6</v>
      </c>
      <c r="B48" s="177" t="s">
        <v>132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 ht="12.75">
      <c r="A49" s="176">
        <v>7</v>
      </c>
      <c r="B49" s="177" t="s">
        <v>133</v>
      </c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 ht="12.75">
      <c r="A50" s="180" t="s">
        <v>7</v>
      </c>
      <c r="B50" s="181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 ht="12.75">
      <c r="A51" s="180" t="s">
        <v>7</v>
      </c>
      <c r="B51" s="181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 ht="12.75">
      <c r="A52" s="176" t="s">
        <v>19</v>
      </c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</sheetData>
  <sheetProtection/>
  <mergeCells count="37">
    <mergeCell ref="A41:B41"/>
    <mergeCell ref="A47:B47"/>
    <mergeCell ref="A37:A38"/>
    <mergeCell ref="B37:B38"/>
    <mergeCell ref="C37:K37"/>
    <mergeCell ref="L37:T37"/>
    <mergeCell ref="R35:W35"/>
    <mergeCell ref="U37:W38"/>
    <mergeCell ref="C38:E38"/>
    <mergeCell ref="F38:H38"/>
    <mergeCell ref="I38:K38"/>
    <mergeCell ref="L38:N38"/>
    <mergeCell ref="O38:Q38"/>
    <mergeCell ref="R38:T38"/>
    <mergeCell ref="O1:U1"/>
    <mergeCell ref="B4:U4"/>
    <mergeCell ref="B6:U6"/>
    <mergeCell ref="C11:E11"/>
    <mergeCell ref="F11:H11"/>
    <mergeCell ref="I11:K11"/>
    <mergeCell ref="L11:N11"/>
    <mergeCell ref="A20:B20"/>
    <mergeCell ref="A14:B14"/>
    <mergeCell ref="O11:Q11"/>
    <mergeCell ref="V9:W9"/>
    <mergeCell ref="A10:A11"/>
    <mergeCell ref="B10:B11"/>
    <mergeCell ref="C10:K10"/>
    <mergeCell ref="L10:T10"/>
    <mergeCell ref="U10:W11"/>
    <mergeCell ref="R11:T11"/>
    <mergeCell ref="P29:U29"/>
    <mergeCell ref="P30:U30"/>
    <mergeCell ref="P31:U31"/>
    <mergeCell ref="C29:F29"/>
    <mergeCell ref="C30:F30"/>
    <mergeCell ref="C31:F31"/>
  </mergeCells>
  <printOptions horizontalCentered="1"/>
  <pageMargins left="0.7086614173228347" right="0.7086614173228347" top="0.83" bottom="0" header="0.63" footer="0.31496062992125984"/>
  <pageSetup fitToHeight="1" fitToWidth="1" horizontalDpi="600" verticalDpi="600" orientation="landscape" paperSize="9" scale="63" r:id="rId1"/>
  <colBreaks count="1" manualBreakCount="1">
    <brk id="23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78" zoomScaleSheetLayoutView="78" zoomScalePageLayoutView="0" workbookViewId="0" topLeftCell="A28">
      <selection activeCell="H54" sqref="H54:J54"/>
    </sheetView>
  </sheetViews>
  <sheetFormatPr defaultColWidth="9.140625" defaultRowHeight="12.75"/>
  <cols>
    <col min="1" max="1" width="7.421875" style="161" customWidth="1"/>
    <col min="2" max="2" width="17.140625" style="161" customWidth="1"/>
    <col min="3" max="3" width="11.00390625" style="161" customWidth="1"/>
    <col min="4" max="4" width="10.00390625" style="161" customWidth="1"/>
    <col min="5" max="5" width="11.8515625" style="161" customWidth="1"/>
    <col min="6" max="6" width="12.140625" style="161" customWidth="1"/>
    <col min="7" max="7" width="13.28125" style="161" customWidth="1"/>
    <col min="8" max="8" width="14.57421875" style="161" customWidth="1"/>
    <col min="9" max="9" width="12.7109375" style="161" customWidth="1"/>
    <col min="10" max="10" width="14.00390625" style="161" customWidth="1"/>
    <col min="11" max="11" width="10.8515625" style="161" customWidth="1"/>
    <col min="12" max="12" width="10.7109375" style="161" customWidth="1"/>
    <col min="13" max="16384" width="9.140625" style="161" customWidth="1"/>
  </cols>
  <sheetData>
    <row r="1" spans="5:10" s="86" customFormat="1" ht="12.75">
      <c r="E1" s="1104"/>
      <c r="F1" s="1104"/>
      <c r="G1" s="1104"/>
      <c r="H1" s="1104"/>
      <c r="I1" s="1104"/>
      <c r="J1" s="309" t="s">
        <v>766</v>
      </c>
    </row>
    <row r="2" spans="1:10" s="86" customFormat="1" ht="15">
      <c r="A2" s="1105" t="s">
        <v>0</v>
      </c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0" s="86" customFormat="1" ht="20.25">
      <c r="A3" s="776" t="s">
        <v>656</v>
      </c>
      <c r="B3" s="776"/>
      <c r="C3" s="776"/>
      <c r="D3" s="776"/>
      <c r="E3" s="776"/>
      <c r="F3" s="776"/>
      <c r="G3" s="776"/>
      <c r="H3" s="776"/>
      <c r="I3" s="776"/>
      <c r="J3" s="776"/>
    </row>
    <row r="4" s="86" customFormat="1" ht="14.25" customHeight="1"/>
    <row r="5" spans="1:12" ht="19.5" customHeight="1">
      <c r="A5" s="1106" t="s">
        <v>767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</row>
    <row r="6" spans="1:10" ht="13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ht="0.75" customHeight="1"/>
    <row r="8" spans="1:12" ht="12.75">
      <c r="A8" s="208" t="s">
        <v>1020</v>
      </c>
      <c r="B8" s="208"/>
      <c r="C8" s="209"/>
      <c r="H8" s="1107" t="s">
        <v>821</v>
      </c>
      <c r="I8" s="1107"/>
      <c r="J8" s="1107"/>
      <c r="K8" s="1107"/>
      <c r="L8" s="1107"/>
    </row>
    <row r="9" spans="1:12" ht="18" customHeight="1">
      <c r="A9" s="963" t="s">
        <v>2</v>
      </c>
      <c r="B9" s="963" t="s">
        <v>37</v>
      </c>
      <c r="C9" s="1108" t="s">
        <v>768</v>
      </c>
      <c r="D9" s="1108"/>
      <c r="E9" s="1108" t="s">
        <v>128</v>
      </c>
      <c r="F9" s="1108"/>
      <c r="G9" s="1108" t="s">
        <v>769</v>
      </c>
      <c r="H9" s="1108"/>
      <c r="I9" s="1108" t="s">
        <v>129</v>
      </c>
      <c r="J9" s="1108"/>
      <c r="K9" s="1108" t="s">
        <v>130</v>
      </c>
      <c r="L9" s="1108"/>
    </row>
    <row r="10" spans="1:12" ht="44.25" customHeight="1">
      <c r="A10" s="963"/>
      <c r="B10" s="963"/>
      <c r="C10" s="91" t="s">
        <v>770</v>
      </c>
      <c r="D10" s="91" t="s">
        <v>771</v>
      </c>
      <c r="E10" s="91" t="s">
        <v>772</v>
      </c>
      <c r="F10" s="91" t="s">
        <v>773</v>
      </c>
      <c r="G10" s="91" t="s">
        <v>772</v>
      </c>
      <c r="H10" s="91" t="s">
        <v>773</v>
      </c>
      <c r="I10" s="91" t="s">
        <v>770</v>
      </c>
      <c r="J10" s="91" t="s">
        <v>771</v>
      </c>
      <c r="K10" s="91" t="s">
        <v>770</v>
      </c>
      <c r="L10" s="91" t="s">
        <v>771</v>
      </c>
    </row>
    <row r="11" spans="1:12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2.75">
      <c r="A12" s="313">
        <v>1</v>
      </c>
      <c r="B12" s="328" t="s">
        <v>870</v>
      </c>
      <c r="C12" s="311">
        <v>0</v>
      </c>
      <c r="D12" s="311">
        <v>0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</row>
    <row r="13" spans="1:12" ht="12.75">
      <c r="A13" s="313">
        <v>2</v>
      </c>
      <c r="B13" s="328" t="s">
        <v>871</v>
      </c>
      <c r="C13" s="311">
        <v>0</v>
      </c>
      <c r="D13" s="311">
        <v>0</v>
      </c>
      <c r="E13" s="311">
        <v>0</v>
      </c>
      <c r="F13" s="311">
        <v>0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</row>
    <row r="14" spans="1:12" ht="12.75">
      <c r="A14" s="313">
        <v>3</v>
      </c>
      <c r="B14" s="328" t="s">
        <v>872</v>
      </c>
      <c r="C14" s="311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</row>
    <row r="15" spans="1:12" ht="12.75">
      <c r="A15" s="313">
        <v>4</v>
      </c>
      <c r="B15" s="328" t="s">
        <v>873</v>
      </c>
      <c r="C15" s="311">
        <v>0</v>
      </c>
      <c r="D15" s="311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</row>
    <row r="16" spans="1:12" ht="12.75">
      <c r="A16" s="313">
        <v>5</v>
      </c>
      <c r="B16" s="328" t="s">
        <v>874</v>
      </c>
      <c r="C16" s="311">
        <v>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</row>
    <row r="17" spans="1:12" ht="12.75">
      <c r="A17" s="313">
        <v>6</v>
      </c>
      <c r="B17" s="328" t="s">
        <v>875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</row>
    <row r="18" spans="1:12" ht="12.75">
      <c r="A18" s="313">
        <v>7</v>
      </c>
      <c r="B18" s="328" t="s">
        <v>876</v>
      </c>
      <c r="C18" s="311">
        <v>0</v>
      </c>
      <c r="D18" s="311"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</row>
    <row r="19" spans="1:12" ht="12.75">
      <c r="A19" s="313">
        <v>8</v>
      </c>
      <c r="B19" s="328" t="s">
        <v>877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</row>
    <row r="20" spans="1:12" ht="12.75">
      <c r="A20" s="313">
        <v>9</v>
      </c>
      <c r="B20" s="328" t="s">
        <v>878</v>
      </c>
      <c r="C20" s="311">
        <v>204.45</v>
      </c>
      <c r="D20" s="311">
        <v>36.0852</v>
      </c>
      <c r="E20" s="311">
        <v>8.95</v>
      </c>
      <c r="F20" s="311">
        <v>5.96</v>
      </c>
      <c r="G20" s="311">
        <v>16.46</v>
      </c>
      <c r="H20" s="311">
        <v>10.98</v>
      </c>
      <c r="I20" s="311">
        <v>1.53</v>
      </c>
      <c r="J20" s="311">
        <v>0.27</v>
      </c>
      <c r="K20" s="311">
        <v>0</v>
      </c>
      <c r="L20" s="311">
        <v>0</v>
      </c>
    </row>
    <row r="21" spans="1:12" ht="12.75">
      <c r="A21" s="313">
        <v>10</v>
      </c>
      <c r="B21" s="328" t="s">
        <v>879</v>
      </c>
      <c r="C21" s="311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</row>
    <row r="22" spans="1:12" ht="12.75">
      <c r="A22" s="313">
        <v>11</v>
      </c>
      <c r="B22" s="328" t="s">
        <v>880</v>
      </c>
      <c r="C22" s="311">
        <v>0</v>
      </c>
      <c r="D22" s="311">
        <v>0</v>
      </c>
      <c r="E22" s="311">
        <v>0</v>
      </c>
      <c r="F22" s="311">
        <v>0</v>
      </c>
      <c r="G22" s="311">
        <v>0</v>
      </c>
      <c r="H22" s="311">
        <v>0</v>
      </c>
      <c r="I22" s="311">
        <v>0</v>
      </c>
      <c r="J22" s="311">
        <v>0</v>
      </c>
      <c r="K22" s="311">
        <v>0</v>
      </c>
      <c r="L22" s="311">
        <v>0</v>
      </c>
    </row>
    <row r="23" spans="1:12" ht="12.75">
      <c r="A23" s="313">
        <v>12</v>
      </c>
      <c r="B23" s="328" t="s">
        <v>881</v>
      </c>
      <c r="C23" s="311">
        <v>0</v>
      </c>
      <c r="D23" s="311"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311">
        <v>0</v>
      </c>
    </row>
    <row r="24" spans="1:12" ht="12.75">
      <c r="A24" s="313">
        <v>13</v>
      </c>
      <c r="B24" s="328" t="s">
        <v>882</v>
      </c>
      <c r="C24" s="311">
        <v>0</v>
      </c>
      <c r="D24" s="311"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11">
        <v>0</v>
      </c>
    </row>
    <row r="25" spans="1:12" ht="12.75">
      <c r="A25" s="313">
        <v>14</v>
      </c>
      <c r="B25" s="328" t="s">
        <v>883</v>
      </c>
      <c r="C25" s="311">
        <v>0</v>
      </c>
      <c r="D25" s="311"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0</v>
      </c>
    </row>
    <row r="26" spans="1:12" ht="12.75">
      <c r="A26" s="313">
        <v>15</v>
      </c>
      <c r="B26" s="328" t="s">
        <v>884</v>
      </c>
      <c r="C26" s="311">
        <v>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</row>
    <row r="27" spans="1:12" ht="12.75">
      <c r="A27" s="313">
        <v>16</v>
      </c>
      <c r="B27" s="328" t="s">
        <v>885</v>
      </c>
      <c r="C27" s="311">
        <v>0</v>
      </c>
      <c r="D27" s="311">
        <v>0</v>
      </c>
      <c r="E27" s="311">
        <v>0</v>
      </c>
      <c r="F27" s="311">
        <v>0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311">
        <v>0</v>
      </c>
    </row>
    <row r="28" spans="1:12" ht="12.75">
      <c r="A28" s="313">
        <v>17</v>
      </c>
      <c r="B28" s="328" t="s">
        <v>886</v>
      </c>
      <c r="C28" s="311">
        <v>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</row>
    <row r="29" spans="1:12" ht="12.75">
      <c r="A29" s="313">
        <v>18</v>
      </c>
      <c r="B29" s="328" t="s">
        <v>887</v>
      </c>
      <c r="C29" s="311">
        <v>0</v>
      </c>
      <c r="D29" s="311">
        <v>0</v>
      </c>
      <c r="E29" s="311">
        <v>0</v>
      </c>
      <c r="F29" s="311">
        <v>0</v>
      </c>
      <c r="G29" s="311">
        <v>0</v>
      </c>
      <c r="H29" s="311">
        <v>0</v>
      </c>
      <c r="I29" s="311">
        <v>0</v>
      </c>
      <c r="J29" s="311">
        <v>0</v>
      </c>
      <c r="K29" s="311">
        <v>0</v>
      </c>
      <c r="L29" s="311">
        <v>0</v>
      </c>
    </row>
    <row r="30" spans="1:12" ht="12.75">
      <c r="A30" s="313">
        <v>19</v>
      </c>
      <c r="B30" s="328" t="s">
        <v>888</v>
      </c>
      <c r="C30" s="311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</row>
    <row r="31" spans="1:12" ht="12.75">
      <c r="A31" s="313">
        <v>20</v>
      </c>
      <c r="B31" s="328" t="s">
        <v>889</v>
      </c>
      <c r="C31" s="311">
        <v>0</v>
      </c>
      <c r="D31" s="311">
        <v>3.5619</v>
      </c>
      <c r="E31" s="311">
        <v>0</v>
      </c>
      <c r="F31" s="311">
        <v>0.94</v>
      </c>
      <c r="G31" s="311"/>
      <c r="H31" s="311">
        <v>0.34</v>
      </c>
      <c r="I31" s="311">
        <v>0</v>
      </c>
      <c r="J31" s="311">
        <v>0.03</v>
      </c>
      <c r="K31" s="311">
        <v>0</v>
      </c>
      <c r="L31" s="311">
        <v>0</v>
      </c>
    </row>
    <row r="32" spans="1:12" ht="12.75">
      <c r="A32" s="313">
        <v>21</v>
      </c>
      <c r="B32" s="328" t="s">
        <v>890</v>
      </c>
      <c r="C32" s="311">
        <v>0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0</v>
      </c>
    </row>
    <row r="33" spans="1:12" ht="12.75">
      <c r="A33" s="313">
        <v>22</v>
      </c>
      <c r="B33" s="328" t="s">
        <v>891</v>
      </c>
      <c r="C33" s="311">
        <v>0</v>
      </c>
      <c r="D33" s="311">
        <v>0</v>
      </c>
      <c r="E33" s="311">
        <v>0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0</v>
      </c>
    </row>
    <row r="34" spans="1:12" ht="12.75">
      <c r="A34" s="313">
        <v>23</v>
      </c>
      <c r="B34" s="328" t="s">
        <v>892</v>
      </c>
      <c r="C34" s="311">
        <v>0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</row>
    <row r="35" spans="1:12" ht="12.75">
      <c r="A35" s="313">
        <v>24</v>
      </c>
      <c r="B35" s="328" t="s">
        <v>893</v>
      </c>
      <c r="C35" s="311">
        <v>0</v>
      </c>
      <c r="D35" s="311">
        <v>0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</row>
    <row r="36" spans="1:12" ht="12.75">
      <c r="A36" s="313">
        <v>25</v>
      </c>
      <c r="B36" s="328" t="s">
        <v>894</v>
      </c>
      <c r="C36" s="311">
        <v>0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</row>
    <row r="37" spans="1:12" ht="12.75">
      <c r="A37" s="313">
        <v>26</v>
      </c>
      <c r="B37" s="328" t="s">
        <v>895</v>
      </c>
      <c r="C37" s="311">
        <v>0</v>
      </c>
      <c r="D37" s="31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</row>
    <row r="38" spans="1:12" ht="12.75">
      <c r="A38" s="313">
        <v>27</v>
      </c>
      <c r="B38" s="328" t="s">
        <v>896</v>
      </c>
      <c r="C38" s="311">
        <f>899*0.0001</f>
        <v>0.08990000000000001</v>
      </c>
      <c r="D38" s="311">
        <v>0.0899</v>
      </c>
      <c r="E38" s="311">
        <f>899*5.13/100000</f>
        <v>0.0461187</v>
      </c>
      <c r="F38" s="311">
        <v>0.047</v>
      </c>
      <c r="G38" s="311">
        <v>10</v>
      </c>
      <c r="H38" s="311">
        <v>1</v>
      </c>
      <c r="I38" s="311">
        <v>0</v>
      </c>
      <c r="J38" s="311">
        <v>0</v>
      </c>
      <c r="K38" s="311">
        <v>0</v>
      </c>
      <c r="L38" s="311">
        <v>0</v>
      </c>
    </row>
    <row r="39" spans="1:12" ht="12.75">
      <c r="A39" s="313">
        <v>28</v>
      </c>
      <c r="B39" s="328" t="s">
        <v>897</v>
      </c>
      <c r="C39" s="311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</row>
    <row r="40" spans="1:12" ht="12.75">
      <c r="A40" s="313">
        <v>29</v>
      </c>
      <c r="B40" s="328" t="s">
        <v>898</v>
      </c>
      <c r="C40" s="311">
        <v>0</v>
      </c>
      <c r="D40" s="311">
        <v>0</v>
      </c>
      <c r="E40" s="311">
        <v>0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0</v>
      </c>
    </row>
    <row r="41" spans="1:12" ht="12.75">
      <c r="A41" s="313">
        <v>30</v>
      </c>
      <c r="B41" s="328" t="s">
        <v>899</v>
      </c>
      <c r="C41" s="311">
        <v>0</v>
      </c>
      <c r="D41" s="311">
        <v>0</v>
      </c>
      <c r="E41" s="311">
        <v>0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</row>
    <row r="42" spans="1:12" ht="12.75">
      <c r="A42" s="313">
        <v>31</v>
      </c>
      <c r="B42" s="328" t="s">
        <v>900</v>
      </c>
      <c r="C42" s="311">
        <v>0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</row>
    <row r="43" spans="1:12" ht="12.75">
      <c r="A43" s="313">
        <v>32</v>
      </c>
      <c r="B43" s="328" t="s">
        <v>901</v>
      </c>
      <c r="C43" s="311">
        <v>0</v>
      </c>
      <c r="D43" s="311"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311">
        <v>0</v>
      </c>
      <c r="L43" s="311">
        <v>0</v>
      </c>
    </row>
    <row r="44" spans="1:12" ht="12.75">
      <c r="A44" s="313">
        <v>33</v>
      </c>
      <c r="B44" s="328" t="s">
        <v>902</v>
      </c>
      <c r="C44" s="311">
        <v>0</v>
      </c>
      <c r="D44" s="311">
        <v>0</v>
      </c>
      <c r="E44" s="311">
        <v>0</v>
      </c>
      <c r="F44" s="311">
        <v>0</v>
      </c>
      <c r="G44" s="311">
        <v>0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</row>
    <row r="45" spans="1:12" ht="12.75">
      <c r="A45" s="313">
        <v>34</v>
      </c>
      <c r="B45" s="328" t="s">
        <v>903</v>
      </c>
      <c r="C45" s="311">
        <v>0</v>
      </c>
      <c r="D45" s="311">
        <v>0</v>
      </c>
      <c r="E45" s="311">
        <v>0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0</v>
      </c>
      <c r="L45" s="311">
        <v>0</v>
      </c>
    </row>
    <row r="46" spans="1:12" ht="12.75">
      <c r="A46" s="313">
        <v>35</v>
      </c>
      <c r="B46" s="328" t="s">
        <v>904</v>
      </c>
      <c r="C46" s="311">
        <v>0</v>
      </c>
      <c r="D46" s="311"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0</v>
      </c>
    </row>
    <row r="47" spans="1:12" ht="12.75">
      <c r="A47" s="90" t="s">
        <v>19</v>
      </c>
      <c r="B47" s="314"/>
      <c r="C47" s="314"/>
      <c r="D47" s="311"/>
      <c r="E47" s="311"/>
      <c r="F47" s="311"/>
      <c r="G47" s="311"/>
      <c r="H47" s="311"/>
      <c r="I47" s="311"/>
      <c r="J47" s="311"/>
      <c r="K47" s="311"/>
      <c r="L47" s="311"/>
    </row>
    <row r="48" spans="1:10" ht="12.75">
      <c r="A48" s="94"/>
      <c r="B48" s="116"/>
      <c r="C48" s="116"/>
      <c r="D48" s="312"/>
      <c r="E48" s="312"/>
      <c r="F48" s="312"/>
      <c r="G48" s="312"/>
      <c r="H48" s="312"/>
      <c r="I48" s="312"/>
      <c r="J48" s="312"/>
    </row>
    <row r="49" spans="1:10" ht="12.75">
      <c r="A49" s="94"/>
      <c r="B49" s="116"/>
      <c r="C49" s="116"/>
      <c r="D49" s="312"/>
      <c r="E49" s="312"/>
      <c r="F49" s="312"/>
      <c r="G49" s="312"/>
      <c r="H49" s="312"/>
      <c r="I49" s="312"/>
      <c r="J49" s="312"/>
    </row>
    <row r="50" spans="1:12" ht="12.75" customHeight="1">
      <c r="A50" s="94"/>
      <c r="B50" s="116"/>
      <c r="C50" s="748" t="s">
        <v>1021</v>
      </c>
      <c r="D50" s="748"/>
      <c r="E50" s="748"/>
      <c r="F50" s="748"/>
      <c r="I50" s="748" t="s">
        <v>1024</v>
      </c>
      <c r="J50" s="748"/>
      <c r="K50" s="748"/>
      <c r="L50" s="748"/>
    </row>
    <row r="51" spans="1:12" ht="15.75" customHeight="1">
      <c r="A51" s="97" t="s">
        <v>12</v>
      </c>
      <c r="B51" s="97"/>
      <c r="C51" s="748" t="s">
        <v>1022</v>
      </c>
      <c r="D51" s="748"/>
      <c r="E51" s="748"/>
      <c r="F51" s="748"/>
      <c r="I51" s="748" t="s">
        <v>1025</v>
      </c>
      <c r="J51" s="748"/>
      <c r="K51" s="748"/>
      <c r="L51" s="748"/>
    </row>
    <row r="52" spans="1:12" ht="12.75" customHeight="1">
      <c r="A52" s="603"/>
      <c r="B52" s="603"/>
      <c r="C52" s="735" t="s">
        <v>1023</v>
      </c>
      <c r="D52" s="735"/>
      <c r="E52" s="735"/>
      <c r="F52" s="735"/>
      <c r="I52" s="735" t="s">
        <v>1023</v>
      </c>
      <c r="J52" s="735"/>
      <c r="K52" s="735"/>
      <c r="L52" s="735"/>
    </row>
    <row r="53" spans="1:10" ht="12.75" customHeight="1">
      <c r="A53" s="315"/>
      <c r="B53" s="315"/>
      <c r="C53"/>
      <c r="D53"/>
      <c r="E53"/>
      <c r="F53"/>
      <c r="G53"/>
      <c r="H53"/>
      <c r="I53" s="278"/>
      <c r="J53" s="278"/>
    </row>
    <row r="54" spans="1:10" ht="12.75">
      <c r="A54" s="97"/>
      <c r="B54" s="97"/>
      <c r="C54" s="97"/>
      <c r="E54" s="97"/>
      <c r="H54" s="1110"/>
      <c r="I54" s="1110"/>
      <c r="J54" s="1110"/>
    </row>
    <row r="58" spans="1:10" ht="12.75">
      <c r="A58" s="1109"/>
      <c r="B58" s="1109"/>
      <c r="C58" s="1109"/>
      <c r="D58" s="1109"/>
      <c r="E58" s="1109"/>
      <c r="F58" s="1109"/>
      <c r="G58" s="1109"/>
      <c r="H58" s="1109"/>
      <c r="I58" s="1109"/>
      <c r="J58" s="1109"/>
    </row>
    <row r="60" spans="1:10" ht="12.75">
      <c r="A60" s="1109"/>
      <c r="B60" s="1109"/>
      <c r="C60" s="1109"/>
      <c r="D60" s="1109"/>
      <c r="E60" s="1109"/>
      <c r="F60" s="1109"/>
      <c r="G60" s="1109"/>
      <c r="H60" s="1109"/>
      <c r="I60" s="1109"/>
      <c r="J60" s="1109"/>
    </row>
  </sheetData>
  <sheetProtection/>
  <mergeCells count="21">
    <mergeCell ref="C50:F50"/>
    <mergeCell ref="K9:L9"/>
    <mergeCell ref="A60:J60"/>
    <mergeCell ref="A9:A10"/>
    <mergeCell ref="B9:B10"/>
    <mergeCell ref="C9:D9"/>
    <mergeCell ref="E9:F9"/>
    <mergeCell ref="G9:H9"/>
    <mergeCell ref="I9:J9"/>
    <mergeCell ref="H54:J54"/>
    <mergeCell ref="A58:J58"/>
    <mergeCell ref="I50:L50"/>
    <mergeCell ref="C51:F51"/>
    <mergeCell ref="I51:L51"/>
    <mergeCell ref="C52:F52"/>
    <mergeCell ref="I52:L52"/>
    <mergeCell ref="E1:I1"/>
    <mergeCell ref="A2:J2"/>
    <mergeCell ref="A3:J3"/>
    <mergeCell ref="A5:L5"/>
    <mergeCell ref="H8:L8"/>
  </mergeCells>
  <printOptions horizontalCentered="1"/>
  <pageMargins left="0.7086614173228347" right="0.7086614173228347" top="0.31" bottom="0" header="0.31496062992125984" footer="0.31496062992125984"/>
  <pageSetup fitToHeight="1" fitToWidth="1" horizontalDpi="600" verticalDpi="600" orientation="landscape" paperSize="9" scale="80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view="pageBreakPreview" zoomScale="78" zoomScaleSheetLayoutView="78" zoomScalePageLayoutView="0" workbookViewId="0" topLeftCell="A28">
      <selection activeCell="C51" sqref="C51:L54"/>
    </sheetView>
  </sheetViews>
  <sheetFormatPr defaultColWidth="9.140625" defaultRowHeight="12.75"/>
  <cols>
    <col min="1" max="1" width="7.421875" style="161" customWidth="1"/>
    <col min="2" max="2" width="17.140625" style="161" customWidth="1"/>
    <col min="3" max="3" width="11.00390625" style="161" customWidth="1"/>
    <col min="4" max="4" width="10.00390625" style="161" customWidth="1"/>
    <col min="5" max="5" width="11.8515625" style="161" customWidth="1"/>
    <col min="6" max="6" width="12.140625" style="161" customWidth="1"/>
    <col min="7" max="7" width="13.28125" style="161" customWidth="1"/>
    <col min="8" max="8" width="14.57421875" style="161" customWidth="1"/>
    <col min="9" max="9" width="12.00390625" style="161" customWidth="1"/>
    <col min="10" max="10" width="13.140625" style="161" customWidth="1"/>
    <col min="11" max="11" width="10.8515625" style="161" customWidth="1"/>
    <col min="12" max="12" width="10.7109375" style="161" customWidth="1"/>
    <col min="13" max="16384" width="9.140625" style="161" customWidth="1"/>
  </cols>
  <sheetData>
    <row r="1" spans="5:10" s="86" customFormat="1" ht="12.75">
      <c r="E1" s="1104"/>
      <c r="F1" s="1104"/>
      <c r="G1" s="1104"/>
      <c r="H1" s="1104"/>
      <c r="I1" s="1104"/>
      <c r="J1" s="309" t="s">
        <v>774</v>
      </c>
    </row>
    <row r="2" spans="1:10" s="86" customFormat="1" ht="15">
      <c r="A2" s="1105" t="s">
        <v>0</v>
      </c>
      <c r="B2" s="1105"/>
      <c r="C2" s="1105"/>
      <c r="D2" s="1105"/>
      <c r="E2" s="1105"/>
      <c r="F2" s="1105"/>
      <c r="G2" s="1105"/>
      <c r="H2" s="1105"/>
      <c r="I2" s="1105"/>
      <c r="J2" s="1105"/>
    </row>
    <row r="3" spans="1:10" s="86" customFormat="1" ht="20.25">
      <c r="A3" s="776" t="s">
        <v>656</v>
      </c>
      <c r="B3" s="776"/>
      <c r="C3" s="776"/>
      <c r="D3" s="776"/>
      <c r="E3" s="776"/>
      <c r="F3" s="776"/>
      <c r="G3" s="776"/>
      <c r="H3" s="776"/>
      <c r="I3" s="776"/>
      <c r="J3" s="776"/>
    </row>
    <row r="4" s="86" customFormat="1" ht="14.25" customHeight="1"/>
    <row r="5" spans="1:12" ht="16.5" customHeight="1">
      <c r="A5" s="1106" t="s">
        <v>775</v>
      </c>
      <c r="B5" s="1106"/>
      <c r="C5" s="1106"/>
      <c r="D5" s="1106"/>
      <c r="E5" s="1106"/>
      <c r="F5" s="1106"/>
      <c r="G5" s="1106"/>
      <c r="H5" s="1106"/>
      <c r="I5" s="1106"/>
      <c r="J5" s="1106"/>
      <c r="K5" s="1106"/>
      <c r="L5" s="1106"/>
    </row>
    <row r="6" spans="1:10" ht="13.5" customHeight="1">
      <c r="A6" s="310"/>
      <c r="B6" s="310"/>
      <c r="C6" s="310"/>
      <c r="D6" s="310"/>
      <c r="E6" s="310"/>
      <c r="F6" s="310"/>
      <c r="G6" s="310"/>
      <c r="H6" s="310"/>
      <c r="I6" s="310"/>
      <c r="J6" s="310"/>
    </row>
    <row r="7" ht="0.75" customHeight="1"/>
    <row r="8" spans="1:12" ht="12.75">
      <c r="A8" s="208" t="s">
        <v>1020</v>
      </c>
      <c r="B8" s="208"/>
      <c r="C8" s="209"/>
      <c r="H8" s="1107" t="s">
        <v>821</v>
      </c>
      <c r="I8" s="1107"/>
      <c r="J8" s="1107"/>
      <c r="K8" s="1107"/>
      <c r="L8" s="1107"/>
    </row>
    <row r="9" spans="1:12" ht="21" customHeight="1">
      <c r="A9" s="963" t="s">
        <v>2</v>
      </c>
      <c r="B9" s="963" t="s">
        <v>37</v>
      </c>
      <c r="C9" s="1108" t="s">
        <v>768</v>
      </c>
      <c r="D9" s="1108"/>
      <c r="E9" s="1108" t="s">
        <v>128</v>
      </c>
      <c r="F9" s="1108"/>
      <c r="G9" s="1108" t="s">
        <v>769</v>
      </c>
      <c r="H9" s="1108"/>
      <c r="I9" s="1108" t="s">
        <v>129</v>
      </c>
      <c r="J9" s="1108"/>
      <c r="K9" s="1108" t="s">
        <v>130</v>
      </c>
      <c r="L9" s="1108"/>
    </row>
    <row r="10" spans="1:12" ht="45" customHeight="1">
      <c r="A10" s="963"/>
      <c r="B10" s="963"/>
      <c r="C10" s="91" t="s">
        <v>770</v>
      </c>
      <c r="D10" s="91" t="s">
        <v>771</v>
      </c>
      <c r="E10" s="91" t="s">
        <v>772</v>
      </c>
      <c r="F10" s="91" t="s">
        <v>773</v>
      </c>
      <c r="G10" s="91" t="s">
        <v>772</v>
      </c>
      <c r="H10" s="91" t="s">
        <v>773</v>
      </c>
      <c r="I10" s="91" t="s">
        <v>770</v>
      </c>
      <c r="J10" s="91" t="s">
        <v>771</v>
      </c>
      <c r="K10" s="91" t="s">
        <v>770</v>
      </c>
      <c r="L10" s="91" t="s">
        <v>771</v>
      </c>
    </row>
    <row r="11" spans="1:12" ht="12.75">
      <c r="A11" s="91">
        <v>1</v>
      </c>
      <c r="B11" s="91">
        <v>2</v>
      </c>
      <c r="C11" s="91">
        <v>3</v>
      </c>
      <c r="D11" s="91">
        <v>4</v>
      </c>
      <c r="E11" s="91">
        <v>5</v>
      </c>
      <c r="F11" s="91">
        <v>6</v>
      </c>
      <c r="G11" s="91">
        <v>7</v>
      </c>
      <c r="H11" s="91">
        <v>8</v>
      </c>
      <c r="I11" s="91">
        <v>9</v>
      </c>
      <c r="J11" s="91">
        <v>10</v>
      </c>
      <c r="K11" s="91">
        <v>11</v>
      </c>
      <c r="L11" s="91">
        <v>12</v>
      </c>
    </row>
    <row r="12" spans="1:12" ht="12.75">
      <c r="A12" s="313">
        <v>1</v>
      </c>
      <c r="B12" s="328" t="s">
        <v>870</v>
      </c>
      <c r="C12" s="311">
        <v>0</v>
      </c>
      <c r="D12" s="311">
        <v>0</v>
      </c>
      <c r="E12" s="311">
        <v>0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</row>
    <row r="13" spans="1:12" ht="12.75">
      <c r="A13" s="313">
        <v>2</v>
      </c>
      <c r="B13" s="328" t="s">
        <v>871</v>
      </c>
      <c r="C13" s="311">
        <v>0</v>
      </c>
      <c r="D13" s="311">
        <v>0</v>
      </c>
      <c r="E13" s="311">
        <v>0</v>
      </c>
      <c r="F13" s="311">
        <v>0</v>
      </c>
      <c r="G13" s="311">
        <v>0</v>
      </c>
      <c r="H13" s="311">
        <v>0</v>
      </c>
      <c r="I13" s="311">
        <v>0</v>
      </c>
      <c r="J13" s="311">
        <v>0</v>
      </c>
      <c r="K13" s="311">
        <v>0</v>
      </c>
      <c r="L13" s="311">
        <v>0</v>
      </c>
    </row>
    <row r="14" spans="1:12" ht="12.75">
      <c r="A14" s="313">
        <v>3</v>
      </c>
      <c r="B14" s="328" t="s">
        <v>872</v>
      </c>
      <c r="C14" s="311">
        <v>0</v>
      </c>
      <c r="D14" s="311">
        <v>0</v>
      </c>
      <c r="E14" s="311">
        <v>0</v>
      </c>
      <c r="F14" s="311">
        <v>0</v>
      </c>
      <c r="G14" s="311">
        <v>0</v>
      </c>
      <c r="H14" s="311">
        <v>0</v>
      </c>
      <c r="I14" s="311">
        <v>0</v>
      </c>
      <c r="J14" s="311">
        <v>0</v>
      </c>
      <c r="K14" s="311">
        <v>0</v>
      </c>
      <c r="L14" s="311">
        <v>0</v>
      </c>
    </row>
    <row r="15" spans="1:12" ht="12.75">
      <c r="A15" s="313">
        <v>4</v>
      </c>
      <c r="B15" s="328" t="s">
        <v>873</v>
      </c>
      <c r="C15" s="311">
        <v>0</v>
      </c>
      <c r="D15" s="311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311">
        <v>0</v>
      </c>
      <c r="L15" s="311">
        <v>0</v>
      </c>
    </row>
    <row r="16" spans="1:12" ht="12.75">
      <c r="A16" s="313">
        <v>5</v>
      </c>
      <c r="B16" s="328" t="s">
        <v>874</v>
      </c>
      <c r="C16" s="311">
        <v>0</v>
      </c>
      <c r="D16" s="311">
        <v>0</v>
      </c>
      <c r="E16" s="311">
        <v>0</v>
      </c>
      <c r="F16" s="311">
        <v>0</v>
      </c>
      <c r="G16" s="311">
        <v>0</v>
      </c>
      <c r="H16" s="311">
        <v>0</v>
      </c>
      <c r="I16" s="311">
        <v>0</v>
      </c>
      <c r="J16" s="311">
        <v>0</v>
      </c>
      <c r="K16" s="311">
        <v>0</v>
      </c>
      <c r="L16" s="311">
        <v>0</v>
      </c>
    </row>
    <row r="17" spans="1:12" ht="12.75">
      <c r="A17" s="313">
        <v>6</v>
      </c>
      <c r="B17" s="328" t="s">
        <v>875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</row>
    <row r="18" spans="1:12" ht="12.75">
      <c r="A18" s="313">
        <v>7</v>
      </c>
      <c r="B18" s="328" t="s">
        <v>876</v>
      </c>
      <c r="C18" s="311">
        <v>0</v>
      </c>
      <c r="D18" s="311">
        <v>0</v>
      </c>
      <c r="E18" s="311">
        <v>0</v>
      </c>
      <c r="F18" s="311">
        <v>0</v>
      </c>
      <c r="G18" s="311">
        <v>0</v>
      </c>
      <c r="H18" s="311">
        <v>0</v>
      </c>
      <c r="I18" s="311">
        <v>0</v>
      </c>
      <c r="J18" s="311">
        <v>0</v>
      </c>
      <c r="K18" s="311">
        <v>0</v>
      </c>
      <c r="L18" s="311">
        <v>0</v>
      </c>
    </row>
    <row r="19" spans="1:12" ht="12.75">
      <c r="A19" s="313">
        <v>8</v>
      </c>
      <c r="B19" s="328" t="s">
        <v>877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</row>
    <row r="20" spans="1:12" ht="12.75">
      <c r="A20" s="313">
        <v>9</v>
      </c>
      <c r="B20" s="328" t="s">
        <v>878</v>
      </c>
      <c r="C20" s="311">
        <v>0</v>
      </c>
      <c r="D20" s="311">
        <v>6.43</v>
      </c>
      <c r="E20" s="311">
        <v>1.59</v>
      </c>
      <c r="F20" s="311">
        <v>1.06</v>
      </c>
      <c r="G20" s="311">
        <v>0</v>
      </c>
      <c r="H20" s="311">
        <v>0</v>
      </c>
      <c r="I20" s="311"/>
      <c r="J20" s="311">
        <v>0.05</v>
      </c>
      <c r="K20" s="311">
        <v>0</v>
      </c>
      <c r="L20" s="311">
        <v>0</v>
      </c>
    </row>
    <row r="21" spans="1:12" ht="12.75">
      <c r="A21" s="313">
        <v>10</v>
      </c>
      <c r="B21" s="328" t="s">
        <v>879</v>
      </c>
      <c r="C21" s="311">
        <v>0</v>
      </c>
      <c r="D21" s="311">
        <v>0</v>
      </c>
      <c r="E21" s="311">
        <v>0</v>
      </c>
      <c r="F21" s="311">
        <v>0</v>
      </c>
      <c r="G21" s="311">
        <v>0</v>
      </c>
      <c r="H21" s="311">
        <v>0</v>
      </c>
      <c r="I21" s="311">
        <v>0</v>
      </c>
      <c r="J21" s="311">
        <v>0</v>
      </c>
      <c r="K21" s="311">
        <v>0</v>
      </c>
      <c r="L21" s="311">
        <v>0</v>
      </c>
    </row>
    <row r="22" spans="1:12" ht="12.75">
      <c r="A22" s="313">
        <v>11</v>
      </c>
      <c r="B22" s="328" t="s">
        <v>880</v>
      </c>
      <c r="C22" s="311">
        <v>0</v>
      </c>
      <c r="D22" s="311">
        <v>0</v>
      </c>
      <c r="E22" s="311">
        <v>0</v>
      </c>
      <c r="F22" s="311">
        <v>0</v>
      </c>
      <c r="G22" s="311">
        <v>0</v>
      </c>
      <c r="H22" s="311">
        <v>0</v>
      </c>
      <c r="I22" s="311">
        <v>0</v>
      </c>
      <c r="J22" s="311">
        <v>0</v>
      </c>
      <c r="K22" s="311">
        <v>0</v>
      </c>
      <c r="L22" s="311">
        <v>0</v>
      </c>
    </row>
    <row r="23" spans="1:12" ht="12.75">
      <c r="A23" s="313">
        <v>12</v>
      </c>
      <c r="B23" s="328" t="s">
        <v>881</v>
      </c>
      <c r="C23" s="311">
        <v>0</v>
      </c>
      <c r="D23" s="311"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311">
        <v>0</v>
      </c>
    </row>
    <row r="24" spans="1:12" ht="12.75">
      <c r="A24" s="313">
        <v>13</v>
      </c>
      <c r="B24" s="328" t="s">
        <v>882</v>
      </c>
      <c r="C24" s="311">
        <v>0</v>
      </c>
      <c r="D24" s="311">
        <v>0</v>
      </c>
      <c r="E24" s="311">
        <v>0</v>
      </c>
      <c r="F24" s="311">
        <v>0</v>
      </c>
      <c r="G24" s="311">
        <v>0</v>
      </c>
      <c r="H24" s="311">
        <v>0</v>
      </c>
      <c r="I24" s="311">
        <v>0</v>
      </c>
      <c r="J24" s="311">
        <v>0</v>
      </c>
      <c r="K24" s="311">
        <v>0</v>
      </c>
      <c r="L24" s="311">
        <v>0</v>
      </c>
    </row>
    <row r="25" spans="1:12" ht="12.75">
      <c r="A25" s="313">
        <v>14</v>
      </c>
      <c r="B25" s="328" t="s">
        <v>883</v>
      </c>
      <c r="C25" s="311">
        <v>0</v>
      </c>
      <c r="D25" s="311">
        <v>0</v>
      </c>
      <c r="E25" s="311">
        <v>0</v>
      </c>
      <c r="F25" s="311">
        <v>0</v>
      </c>
      <c r="G25" s="311">
        <v>0</v>
      </c>
      <c r="H25" s="311">
        <v>0</v>
      </c>
      <c r="I25" s="311">
        <v>0</v>
      </c>
      <c r="J25" s="311">
        <v>0</v>
      </c>
      <c r="K25" s="311">
        <v>0</v>
      </c>
      <c r="L25" s="311">
        <v>0</v>
      </c>
    </row>
    <row r="26" spans="1:12" ht="12.75">
      <c r="A26" s="313">
        <v>15</v>
      </c>
      <c r="B26" s="328" t="s">
        <v>884</v>
      </c>
      <c r="C26" s="311">
        <v>0</v>
      </c>
      <c r="D26" s="311">
        <v>0</v>
      </c>
      <c r="E26" s="311">
        <v>0</v>
      </c>
      <c r="F26" s="311">
        <v>0</v>
      </c>
      <c r="G26" s="311">
        <v>0</v>
      </c>
      <c r="H26" s="311">
        <v>0</v>
      </c>
      <c r="I26" s="311">
        <v>0</v>
      </c>
      <c r="J26" s="311">
        <v>0</v>
      </c>
      <c r="K26" s="311">
        <v>0</v>
      </c>
      <c r="L26" s="311">
        <v>0</v>
      </c>
    </row>
    <row r="27" spans="1:12" ht="12.75">
      <c r="A27" s="313">
        <v>16</v>
      </c>
      <c r="B27" s="328" t="s">
        <v>885</v>
      </c>
      <c r="C27" s="311">
        <v>0</v>
      </c>
      <c r="D27" s="311">
        <v>0</v>
      </c>
      <c r="E27" s="311">
        <v>0</v>
      </c>
      <c r="F27" s="311">
        <v>0</v>
      </c>
      <c r="G27" s="311">
        <v>0</v>
      </c>
      <c r="H27" s="311">
        <v>0</v>
      </c>
      <c r="I27" s="311">
        <v>0</v>
      </c>
      <c r="J27" s="311">
        <v>0</v>
      </c>
      <c r="K27" s="311">
        <v>0</v>
      </c>
      <c r="L27" s="311">
        <v>0</v>
      </c>
    </row>
    <row r="28" spans="1:12" ht="12.75">
      <c r="A28" s="313">
        <v>17</v>
      </c>
      <c r="B28" s="328" t="s">
        <v>886</v>
      </c>
      <c r="C28" s="311">
        <v>0</v>
      </c>
      <c r="D28" s="311">
        <v>0</v>
      </c>
      <c r="E28" s="311">
        <v>0</v>
      </c>
      <c r="F28" s="311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</row>
    <row r="29" spans="1:12" ht="12.75">
      <c r="A29" s="313">
        <v>18</v>
      </c>
      <c r="B29" s="328" t="s">
        <v>887</v>
      </c>
      <c r="C29" s="311">
        <v>0</v>
      </c>
      <c r="D29" s="311">
        <v>0</v>
      </c>
      <c r="E29" s="311">
        <v>0</v>
      </c>
      <c r="F29" s="311">
        <v>0</v>
      </c>
      <c r="G29" s="311">
        <v>0</v>
      </c>
      <c r="H29" s="311">
        <v>0</v>
      </c>
      <c r="I29" s="311">
        <v>0</v>
      </c>
      <c r="J29" s="311">
        <v>0</v>
      </c>
      <c r="K29" s="311">
        <v>0</v>
      </c>
      <c r="L29" s="311">
        <v>0</v>
      </c>
    </row>
    <row r="30" spans="1:12" ht="12.75">
      <c r="A30" s="313">
        <v>19</v>
      </c>
      <c r="B30" s="328" t="s">
        <v>888</v>
      </c>
      <c r="C30" s="311">
        <v>0</v>
      </c>
      <c r="D30" s="311">
        <v>0</v>
      </c>
      <c r="E30" s="311">
        <v>0</v>
      </c>
      <c r="F30" s="311">
        <v>0</v>
      </c>
      <c r="G30" s="311">
        <v>0</v>
      </c>
      <c r="H30" s="311">
        <v>0</v>
      </c>
      <c r="I30" s="311">
        <v>0</v>
      </c>
      <c r="J30" s="311">
        <v>0</v>
      </c>
      <c r="K30" s="311">
        <v>0</v>
      </c>
      <c r="L30" s="311">
        <v>0</v>
      </c>
    </row>
    <row r="31" spans="1:12" ht="12.75">
      <c r="A31" s="313">
        <v>20</v>
      </c>
      <c r="B31" s="328" t="s">
        <v>889</v>
      </c>
      <c r="C31" s="311">
        <v>0</v>
      </c>
      <c r="D31" s="311">
        <v>0.51</v>
      </c>
      <c r="E31" s="311">
        <v>0</v>
      </c>
      <c r="F31" s="311">
        <v>0.13</v>
      </c>
      <c r="G31" s="311">
        <v>0</v>
      </c>
      <c r="H31" s="311">
        <v>0</v>
      </c>
      <c r="I31" s="311">
        <v>0</v>
      </c>
      <c r="J31" s="311">
        <v>0.004</v>
      </c>
      <c r="K31" s="311">
        <v>0</v>
      </c>
      <c r="L31" s="311">
        <v>0</v>
      </c>
    </row>
    <row r="32" spans="1:12" ht="12.75">
      <c r="A32" s="313">
        <v>21</v>
      </c>
      <c r="B32" s="328" t="s">
        <v>890</v>
      </c>
      <c r="C32" s="311">
        <v>0</v>
      </c>
      <c r="D32" s="311">
        <v>0</v>
      </c>
      <c r="E32" s="311">
        <v>0</v>
      </c>
      <c r="F32" s="311">
        <v>0</v>
      </c>
      <c r="G32" s="311">
        <v>0</v>
      </c>
      <c r="H32" s="311">
        <v>0</v>
      </c>
      <c r="I32" s="311">
        <v>0</v>
      </c>
      <c r="J32" s="311">
        <v>0</v>
      </c>
      <c r="K32" s="311">
        <v>0</v>
      </c>
      <c r="L32" s="311">
        <v>0</v>
      </c>
    </row>
    <row r="33" spans="1:12" ht="12.75">
      <c r="A33" s="313">
        <v>22</v>
      </c>
      <c r="B33" s="328" t="s">
        <v>891</v>
      </c>
      <c r="C33" s="311">
        <v>0</v>
      </c>
      <c r="D33" s="311">
        <v>0</v>
      </c>
      <c r="E33" s="311">
        <v>0</v>
      </c>
      <c r="F33" s="311">
        <v>0</v>
      </c>
      <c r="G33" s="311">
        <v>0</v>
      </c>
      <c r="H33" s="311">
        <v>0</v>
      </c>
      <c r="I33" s="311">
        <v>0</v>
      </c>
      <c r="J33" s="311">
        <v>0</v>
      </c>
      <c r="K33" s="311">
        <v>0</v>
      </c>
      <c r="L33" s="311">
        <v>0</v>
      </c>
    </row>
    <row r="34" spans="1:12" ht="12.75">
      <c r="A34" s="313">
        <v>23</v>
      </c>
      <c r="B34" s="328" t="s">
        <v>892</v>
      </c>
      <c r="C34" s="311">
        <v>0</v>
      </c>
      <c r="D34" s="311">
        <v>0</v>
      </c>
      <c r="E34" s="311">
        <v>0</v>
      </c>
      <c r="F34" s="311">
        <v>0</v>
      </c>
      <c r="G34" s="311">
        <v>0</v>
      </c>
      <c r="H34" s="311">
        <v>0</v>
      </c>
      <c r="I34" s="311">
        <v>0</v>
      </c>
      <c r="J34" s="311">
        <v>0</v>
      </c>
      <c r="K34" s="311">
        <v>0</v>
      </c>
      <c r="L34" s="311">
        <v>0</v>
      </c>
    </row>
    <row r="35" spans="1:12" ht="12.75">
      <c r="A35" s="313">
        <v>24</v>
      </c>
      <c r="B35" s="328" t="s">
        <v>893</v>
      </c>
      <c r="C35" s="311">
        <v>0</v>
      </c>
      <c r="D35" s="311">
        <v>0</v>
      </c>
      <c r="E35" s="311">
        <v>0</v>
      </c>
      <c r="F35" s="311">
        <v>0</v>
      </c>
      <c r="G35" s="311">
        <v>0</v>
      </c>
      <c r="H35" s="311">
        <v>0</v>
      </c>
      <c r="I35" s="311">
        <v>0</v>
      </c>
      <c r="J35" s="311">
        <v>0</v>
      </c>
      <c r="K35" s="311">
        <v>0</v>
      </c>
      <c r="L35" s="311">
        <v>0</v>
      </c>
    </row>
    <row r="36" spans="1:12" ht="12.75">
      <c r="A36" s="313">
        <v>25</v>
      </c>
      <c r="B36" s="328" t="s">
        <v>894</v>
      </c>
      <c r="C36" s="311">
        <v>0</v>
      </c>
      <c r="D36" s="311">
        <v>0</v>
      </c>
      <c r="E36" s="311">
        <v>0</v>
      </c>
      <c r="F36" s="311">
        <v>0</v>
      </c>
      <c r="G36" s="311">
        <v>0</v>
      </c>
      <c r="H36" s="311">
        <v>0</v>
      </c>
      <c r="I36" s="311">
        <v>0</v>
      </c>
      <c r="J36" s="311">
        <v>0</v>
      </c>
      <c r="K36" s="311">
        <v>0</v>
      </c>
      <c r="L36" s="311">
        <v>0</v>
      </c>
    </row>
    <row r="37" spans="1:12" ht="12.75">
      <c r="A37" s="313">
        <v>26</v>
      </c>
      <c r="B37" s="328" t="s">
        <v>895</v>
      </c>
      <c r="C37" s="311">
        <v>0</v>
      </c>
      <c r="D37" s="311">
        <v>0</v>
      </c>
      <c r="E37" s="311">
        <v>0</v>
      </c>
      <c r="F37" s="311">
        <v>0</v>
      </c>
      <c r="G37" s="311">
        <v>0</v>
      </c>
      <c r="H37" s="311">
        <v>0</v>
      </c>
      <c r="I37" s="311">
        <v>0</v>
      </c>
      <c r="J37" s="311">
        <v>0</v>
      </c>
      <c r="K37" s="311">
        <v>0</v>
      </c>
      <c r="L37" s="311">
        <v>0</v>
      </c>
    </row>
    <row r="38" spans="1:12" ht="12.75">
      <c r="A38" s="313">
        <v>27</v>
      </c>
      <c r="B38" s="328" t="s">
        <v>896</v>
      </c>
      <c r="C38" s="311">
        <f>1573*0.00015</f>
        <v>0.23595</v>
      </c>
      <c r="D38" s="311">
        <v>0.24</v>
      </c>
      <c r="E38" s="311">
        <f>1573*6.18/100000</f>
        <v>0.09721139999999999</v>
      </c>
      <c r="F38" s="311">
        <v>0.097</v>
      </c>
      <c r="G38" s="311">
        <v>20</v>
      </c>
      <c r="H38" s="311">
        <v>2</v>
      </c>
      <c r="I38" s="311">
        <v>0</v>
      </c>
      <c r="J38" s="311">
        <v>0</v>
      </c>
      <c r="K38" s="311">
        <v>0</v>
      </c>
      <c r="L38" s="311">
        <v>0</v>
      </c>
    </row>
    <row r="39" spans="1:12" ht="12.75">
      <c r="A39" s="313">
        <v>28</v>
      </c>
      <c r="B39" s="328" t="s">
        <v>897</v>
      </c>
      <c r="C39" s="311">
        <v>0</v>
      </c>
      <c r="D39" s="311">
        <v>0</v>
      </c>
      <c r="E39" s="311">
        <v>0</v>
      </c>
      <c r="F39" s="311">
        <v>0</v>
      </c>
      <c r="G39" s="311">
        <v>0</v>
      </c>
      <c r="H39" s="311">
        <v>0</v>
      </c>
      <c r="I39" s="311">
        <v>0</v>
      </c>
      <c r="J39" s="311">
        <v>0</v>
      </c>
      <c r="K39" s="311">
        <v>0</v>
      </c>
      <c r="L39" s="311">
        <v>0</v>
      </c>
    </row>
    <row r="40" spans="1:12" ht="12.75">
      <c r="A40" s="313">
        <v>29</v>
      </c>
      <c r="B40" s="328" t="s">
        <v>898</v>
      </c>
      <c r="C40" s="311">
        <v>0</v>
      </c>
      <c r="D40" s="311">
        <v>0</v>
      </c>
      <c r="E40" s="311">
        <v>0</v>
      </c>
      <c r="F40" s="311">
        <v>0</v>
      </c>
      <c r="G40" s="311">
        <v>0</v>
      </c>
      <c r="H40" s="311">
        <v>0</v>
      </c>
      <c r="I40" s="311">
        <v>0</v>
      </c>
      <c r="J40" s="311">
        <v>0</v>
      </c>
      <c r="K40" s="311">
        <v>0</v>
      </c>
      <c r="L40" s="311">
        <v>0</v>
      </c>
    </row>
    <row r="41" spans="1:12" ht="12.75">
      <c r="A41" s="313">
        <v>30</v>
      </c>
      <c r="B41" s="328" t="s">
        <v>899</v>
      </c>
      <c r="C41" s="311">
        <v>0</v>
      </c>
      <c r="D41" s="311">
        <v>0</v>
      </c>
      <c r="E41" s="311">
        <v>0</v>
      </c>
      <c r="F41" s="311">
        <v>0</v>
      </c>
      <c r="G41" s="311">
        <v>0</v>
      </c>
      <c r="H41" s="311">
        <v>0</v>
      </c>
      <c r="I41" s="311">
        <v>0</v>
      </c>
      <c r="J41" s="311">
        <v>0</v>
      </c>
      <c r="K41" s="311">
        <v>0</v>
      </c>
      <c r="L41" s="311">
        <v>0</v>
      </c>
    </row>
    <row r="42" spans="1:12" ht="12.75">
      <c r="A42" s="313">
        <v>31</v>
      </c>
      <c r="B42" s="328" t="s">
        <v>900</v>
      </c>
      <c r="C42" s="311">
        <v>0</v>
      </c>
      <c r="D42" s="311">
        <v>0</v>
      </c>
      <c r="E42" s="311">
        <v>0</v>
      </c>
      <c r="F42" s="311">
        <v>0</v>
      </c>
      <c r="G42" s="311">
        <v>0</v>
      </c>
      <c r="H42" s="311">
        <v>0</v>
      </c>
      <c r="I42" s="311">
        <v>0</v>
      </c>
      <c r="J42" s="311">
        <v>0</v>
      </c>
      <c r="K42" s="311">
        <v>0</v>
      </c>
      <c r="L42" s="311">
        <v>0</v>
      </c>
    </row>
    <row r="43" spans="1:12" ht="12.75">
      <c r="A43" s="313">
        <v>32</v>
      </c>
      <c r="B43" s="328" t="s">
        <v>901</v>
      </c>
      <c r="C43" s="311">
        <v>0</v>
      </c>
      <c r="D43" s="311">
        <v>0</v>
      </c>
      <c r="E43" s="311">
        <v>0</v>
      </c>
      <c r="F43" s="311">
        <v>0</v>
      </c>
      <c r="G43" s="311">
        <v>0</v>
      </c>
      <c r="H43" s="311">
        <v>0</v>
      </c>
      <c r="I43" s="311">
        <v>0</v>
      </c>
      <c r="J43" s="311">
        <v>0</v>
      </c>
      <c r="K43" s="311">
        <v>0</v>
      </c>
      <c r="L43" s="311">
        <v>0</v>
      </c>
    </row>
    <row r="44" spans="1:12" ht="12.75">
      <c r="A44" s="313">
        <v>33</v>
      </c>
      <c r="B44" s="328" t="s">
        <v>902</v>
      </c>
      <c r="C44" s="311">
        <v>0</v>
      </c>
      <c r="D44" s="311">
        <v>0</v>
      </c>
      <c r="E44" s="311">
        <v>0</v>
      </c>
      <c r="F44" s="311">
        <v>0</v>
      </c>
      <c r="G44" s="311">
        <v>0</v>
      </c>
      <c r="H44" s="311">
        <v>0</v>
      </c>
      <c r="I44" s="311">
        <v>0</v>
      </c>
      <c r="J44" s="311">
        <v>0</v>
      </c>
      <c r="K44" s="311">
        <v>0</v>
      </c>
      <c r="L44" s="311">
        <v>0</v>
      </c>
    </row>
    <row r="45" spans="1:12" ht="12.75">
      <c r="A45" s="313">
        <v>34</v>
      </c>
      <c r="B45" s="328" t="s">
        <v>903</v>
      </c>
      <c r="C45" s="311">
        <v>0</v>
      </c>
      <c r="D45" s="311">
        <v>0</v>
      </c>
      <c r="E45" s="311">
        <v>0</v>
      </c>
      <c r="F45" s="311">
        <v>0</v>
      </c>
      <c r="G45" s="311">
        <v>0</v>
      </c>
      <c r="H45" s="311">
        <v>0</v>
      </c>
      <c r="I45" s="311">
        <v>0</v>
      </c>
      <c r="J45" s="311">
        <v>0</v>
      </c>
      <c r="K45" s="311">
        <v>0</v>
      </c>
      <c r="L45" s="311">
        <v>0</v>
      </c>
    </row>
    <row r="46" spans="1:12" ht="12.75">
      <c r="A46" s="313">
        <v>35</v>
      </c>
      <c r="B46" s="328" t="s">
        <v>904</v>
      </c>
      <c r="C46" s="311">
        <v>0</v>
      </c>
      <c r="D46" s="311">
        <v>0</v>
      </c>
      <c r="E46" s="311">
        <v>0</v>
      </c>
      <c r="F46" s="311">
        <v>0</v>
      </c>
      <c r="G46" s="311">
        <v>0</v>
      </c>
      <c r="H46" s="311">
        <v>0</v>
      </c>
      <c r="I46" s="311">
        <v>0</v>
      </c>
      <c r="J46" s="311">
        <v>0</v>
      </c>
      <c r="K46" s="311">
        <v>0</v>
      </c>
      <c r="L46" s="311">
        <v>0</v>
      </c>
    </row>
    <row r="47" spans="1:12" ht="12.75">
      <c r="A47" s="90" t="s">
        <v>19</v>
      </c>
      <c r="B47" s="314"/>
      <c r="C47" s="314"/>
      <c r="D47" s="311"/>
      <c r="E47" s="311"/>
      <c r="F47" s="311"/>
      <c r="G47" s="311"/>
      <c r="H47" s="311"/>
      <c r="I47" s="311"/>
      <c r="J47" s="311"/>
      <c r="K47" s="311"/>
      <c r="L47" s="311"/>
    </row>
    <row r="48" spans="1:10" ht="12.75">
      <c r="A48" s="94"/>
      <c r="B48" s="116"/>
      <c r="C48" s="116"/>
      <c r="D48" s="312"/>
      <c r="E48" s="312"/>
      <c r="F48" s="312"/>
      <c r="G48" s="312"/>
      <c r="H48" s="312"/>
      <c r="I48" s="312"/>
      <c r="J48" s="312"/>
    </row>
    <row r="49" spans="1:10" ht="12.75">
      <c r="A49" s="94"/>
      <c r="B49" s="116"/>
      <c r="C49" s="116"/>
      <c r="D49" s="312"/>
      <c r="E49" s="312"/>
      <c r="F49" s="312"/>
      <c r="G49" s="312"/>
      <c r="H49" s="312"/>
      <c r="I49" s="312"/>
      <c r="J49" s="312"/>
    </row>
    <row r="50" spans="1:10" ht="12.75">
      <c r="A50" s="94"/>
      <c r="B50" s="116"/>
      <c r="C50" s="116"/>
      <c r="D50" s="312"/>
      <c r="E50" s="312"/>
      <c r="F50" s="312"/>
      <c r="G50" s="312"/>
      <c r="H50" s="312"/>
      <c r="I50" s="312"/>
      <c r="J50" s="312"/>
    </row>
    <row r="51" spans="1:12" ht="15.75" customHeight="1">
      <c r="A51" s="97" t="s">
        <v>12</v>
      </c>
      <c r="B51" s="97"/>
      <c r="C51" s="748" t="s">
        <v>1021</v>
      </c>
      <c r="D51" s="748"/>
      <c r="E51" s="748"/>
      <c r="F51" s="748"/>
      <c r="I51" s="748" t="s">
        <v>1024</v>
      </c>
      <c r="J51" s="748"/>
      <c r="K51" s="748"/>
      <c r="L51" s="748"/>
    </row>
    <row r="52" spans="1:12" ht="12.75" customHeight="1">
      <c r="A52" s="603"/>
      <c r="B52" s="603"/>
      <c r="C52" s="748" t="s">
        <v>1022</v>
      </c>
      <c r="D52" s="748"/>
      <c r="E52" s="748"/>
      <c r="F52" s="748"/>
      <c r="I52" s="748" t="s">
        <v>1025</v>
      </c>
      <c r="J52" s="748"/>
      <c r="K52" s="748"/>
      <c r="L52" s="748"/>
    </row>
    <row r="53" spans="1:12" ht="12.75" customHeight="1">
      <c r="A53" s="315"/>
      <c r="B53" s="315"/>
      <c r="C53" s="735" t="s">
        <v>1023</v>
      </c>
      <c r="D53" s="735"/>
      <c r="E53" s="735"/>
      <c r="F53" s="735"/>
      <c r="I53" s="735" t="s">
        <v>1023</v>
      </c>
      <c r="J53" s="735"/>
      <c r="K53" s="735"/>
      <c r="L53" s="735"/>
    </row>
    <row r="54" spans="1:10" ht="12.75">
      <c r="A54" s="97"/>
      <c r="B54" s="97"/>
      <c r="C54"/>
      <c r="D54"/>
      <c r="E54"/>
      <c r="F54"/>
      <c r="G54"/>
      <c r="H54"/>
      <c r="I54" s="278"/>
      <c r="J54" s="278"/>
    </row>
    <row r="58" spans="1:10" ht="12.75">
      <c r="A58" s="1109"/>
      <c r="B58" s="1109"/>
      <c r="C58" s="1109"/>
      <c r="D58" s="1109"/>
      <c r="E58" s="1109"/>
      <c r="F58" s="1109"/>
      <c r="G58" s="1109"/>
      <c r="H58" s="1109"/>
      <c r="I58" s="1109"/>
      <c r="J58" s="1109"/>
    </row>
    <row r="60" spans="1:10" ht="12.75">
      <c r="A60" s="1109"/>
      <c r="B60" s="1109"/>
      <c r="C60" s="1109"/>
      <c r="D60" s="1109"/>
      <c r="E60" s="1109"/>
      <c r="F60" s="1109"/>
      <c r="G60" s="1109"/>
      <c r="H60" s="1109"/>
      <c r="I60" s="1109"/>
      <c r="J60" s="1109"/>
    </row>
  </sheetData>
  <sheetProtection/>
  <mergeCells count="20">
    <mergeCell ref="A60:J60"/>
    <mergeCell ref="A9:A10"/>
    <mergeCell ref="B9:B10"/>
    <mergeCell ref="C9:D9"/>
    <mergeCell ref="E9:F9"/>
    <mergeCell ref="G9:H9"/>
    <mergeCell ref="I9:J9"/>
    <mergeCell ref="A58:J58"/>
    <mergeCell ref="I51:L51"/>
    <mergeCell ref="I52:L52"/>
    <mergeCell ref="I53:L53"/>
    <mergeCell ref="C51:F51"/>
    <mergeCell ref="C52:F52"/>
    <mergeCell ref="C53:F53"/>
    <mergeCell ref="E1:I1"/>
    <mergeCell ref="A2:J2"/>
    <mergeCell ref="A3:J3"/>
    <mergeCell ref="A5:L5"/>
    <mergeCell ref="H8:L8"/>
    <mergeCell ref="K9:L9"/>
  </mergeCells>
  <printOptions horizontalCentered="1"/>
  <pageMargins left="0.7086614173228347" right="0.7086614173228347" top="0.31" bottom="0" header="0.31496062992125984" footer="0.31496062992125984"/>
  <pageSetup fitToHeight="1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10" zoomScaleNormal="110" zoomScaleSheetLayoutView="100" zoomScalePageLayoutView="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" sqref="J1:L16384"/>
    </sheetView>
  </sheetViews>
  <sheetFormatPr defaultColWidth="9.140625" defaultRowHeight="12.75"/>
  <cols>
    <col min="1" max="1" width="6.140625" style="0" customWidth="1"/>
    <col min="2" max="2" width="15.57421875" style="0" customWidth="1"/>
    <col min="3" max="3" width="15.140625" style="0" customWidth="1"/>
    <col min="4" max="4" width="21.421875" style="0" customWidth="1"/>
    <col min="5" max="5" width="19.140625" style="0" bestFit="1" customWidth="1"/>
    <col min="6" max="6" width="12.140625" style="0" bestFit="1" customWidth="1"/>
    <col min="7" max="7" width="23.57421875" style="0" customWidth="1"/>
    <col min="8" max="8" width="22.7109375" style="0" customWidth="1"/>
    <col min="9" max="9" width="9.8515625" style="0" customWidth="1"/>
  </cols>
  <sheetData>
    <row r="1" spans="1:8" ht="18">
      <c r="A1" s="801" t="s">
        <v>0</v>
      </c>
      <c r="B1" s="801"/>
      <c r="C1" s="801"/>
      <c r="D1" s="801"/>
      <c r="E1" s="801"/>
      <c r="F1" s="801"/>
      <c r="G1" s="801"/>
      <c r="H1" s="194" t="s">
        <v>265</v>
      </c>
    </row>
    <row r="2" spans="1:8" ht="21">
      <c r="A2" s="802" t="s">
        <v>656</v>
      </c>
      <c r="B2" s="802"/>
      <c r="C2" s="802"/>
      <c r="D2" s="802"/>
      <c r="E2" s="802"/>
      <c r="F2" s="802"/>
      <c r="G2" s="802"/>
      <c r="H2" s="802"/>
    </row>
    <row r="3" spans="1:2" ht="15">
      <c r="A3" s="196"/>
      <c r="B3" s="196"/>
    </row>
    <row r="4" spans="1:8" ht="18" customHeight="1">
      <c r="A4" s="803" t="s">
        <v>660</v>
      </c>
      <c r="B4" s="803"/>
      <c r="C4" s="803"/>
      <c r="D4" s="803"/>
      <c r="E4" s="803"/>
      <c r="F4" s="803"/>
      <c r="G4" s="803"/>
      <c r="H4" s="803"/>
    </row>
    <row r="5" spans="1:3" ht="12.75">
      <c r="A5" s="736" t="s">
        <v>1004</v>
      </c>
      <c r="B5" s="736"/>
      <c r="C5" s="736"/>
    </row>
    <row r="6" spans="1:9" ht="15">
      <c r="A6" s="197"/>
      <c r="B6" s="197"/>
      <c r="G6" s="804" t="s">
        <v>820</v>
      </c>
      <c r="H6" s="804"/>
      <c r="I6" s="108"/>
    </row>
    <row r="7" spans="1:8" ht="59.25" customHeight="1">
      <c r="A7" s="198" t="s">
        <v>2</v>
      </c>
      <c r="B7" s="198" t="s">
        <v>3</v>
      </c>
      <c r="C7" s="199" t="s">
        <v>266</v>
      </c>
      <c r="D7" s="199" t="s">
        <v>267</v>
      </c>
      <c r="E7" s="199" t="s">
        <v>268</v>
      </c>
      <c r="F7" s="199" t="s">
        <v>269</v>
      </c>
      <c r="G7" s="199" t="s">
        <v>270</v>
      </c>
      <c r="H7" s="199" t="s">
        <v>271</v>
      </c>
    </row>
    <row r="8" spans="1:8" s="194" customFormat="1" ht="15">
      <c r="A8" s="200" t="s">
        <v>272</v>
      </c>
      <c r="B8" s="200" t="s">
        <v>273</v>
      </c>
      <c r="C8" s="200" t="s">
        <v>274</v>
      </c>
      <c r="D8" s="200" t="s">
        <v>275</v>
      </c>
      <c r="E8" s="200" t="s">
        <v>276</v>
      </c>
      <c r="F8" s="200" t="s">
        <v>277</v>
      </c>
      <c r="G8" s="200" t="s">
        <v>278</v>
      </c>
      <c r="H8" s="200" t="s">
        <v>279</v>
      </c>
    </row>
    <row r="9" spans="1:8" s="194" customFormat="1" ht="15">
      <c r="A9" s="329">
        <v>1</v>
      </c>
      <c r="B9" s="328" t="s">
        <v>870</v>
      </c>
      <c r="C9" s="200">
        <v>3133</v>
      </c>
      <c r="D9" s="200">
        <v>194</v>
      </c>
      <c r="E9" s="200">
        <v>1211</v>
      </c>
      <c r="F9" s="200">
        <f>C9+D9+E9</f>
        <v>4538</v>
      </c>
      <c r="G9" s="200">
        <v>4538</v>
      </c>
      <c r="H9" s="200">
        <v>0</v>
      </c>
    </row>
    <row r="10" spans="1:8" s="194" customFormat="1" ht="15">
      <c r="A10" s="329">
        <v>2</v>
      </c>
      <c r="B10" s="328" t="s">
        <v>871</v>
      </c>
      <c r="C10" s="200">
        <v>637</v>
      </c>
      <c r="D10" s="200">
        <v>111</v>
      </c>
      <c r="E10" s="200">
        <v>682</v>
      </c>
      <c r="F10" s="200">
        <f aca="true" t="shared" si="0" ref="F10:F44">C10+D10+E10</f>
        <v>1430</v>
      </c>
      <c r="G10" s="200">
        <v>1430</v>
      </c>
      <c r="H10" s="200">
        <v>0</v>
      </c>
    </row>
    <row r="11" spans="1:8" s="194" customFormat="1" ht="15">
      <c r="A11" s="329">
        <v>3</v>
      </c>
      <c r="B11" s="328" t="s">
        <v>872</v>
      </c>
      <c r="C11" s="200">
        <v>1042</v>
      </c>
      <c r="D11" s="200">
        <v>177</v>
      </c>
      <c r="E11" s="200">
        <v>1182</v>
      </c>
      <c r="F11" s="200">
        <f t="shared" si="0"/>
        <v>2401</v>
      </c>
      <c r="G11" s="200">
        <v>2401</v>
      </c>
      <c r="H11" s="200"/>
    </row>
    <row r="12" spans="1:8" s="194" customFormat="1" ht="15">
      <c r="A12" s="329">
        <v>4</v>
      </c>
      <c r="B12" s="328" t="s">
        <v>873</v>
      </c>
      <c r="C12" s="200">
        <v>1464</v>
      </c>
      <c r="D12" s="200">
        <v>233</v>
      </c>
      <c r="E12" s="200">
        <v>1284</v>
      </c>
      <c r="F12" s="200">
        <f t="shared" si="0"/>
        <v>2981</v>
      </c>
      <c r="G12" s="200">
        <v>2981</v>
      </c>
      <c r="H12" s="200"/>
    </row>
    <row r="13" spans="1:8" s="194" customFormat="1" ht="15">
      <c r="A13" s="329">
        <v>5</v>
      </c>
      <c r="B13" s="328" t="s">
        <v>874</v>
      </c>
      <c r="C13" s="200">
        <v>1956</v>
      </c>
      <c r="D13" s="200">
        <v>146</v>
      </c>
      <c r="E13" s="200">
        <v>1122</v>
      </c>
      <c r="F13" s="200">
        <f t="shared" si="0"/>
        <v>3224</v>
      </c>
      <c r="G13" s="200">
        <v>3224</v>
      </c>
      <c r="H13" s="200">
        <v>0</v>
      </c>
    </row>
    <row r="14" spans="1:8" s="194" customFormat="1" ht="15">
      <c r="A14" s="329">
        <v>6</v>
      </c>
      <c r="B14" s="328" t="s">
        <v>875</v>
      </c>
      <c r="C14" s="200">
        <v>593</v>
      </c>
      <c r="D14" s="200">
        <v>61</v>
      </c>
      <c r="E14" s="200">
        <v>478</v>
      </c>
      <c r="F14" s="200">
        <f t="shared" si="0"/>
        <v>1132</v>
      </c>
      <c r="G14" s="200">
        <v>1132</v>
      </c>
      <c r="H14" s="200">
        <v>0</v>
      </c>
    </row>
    <row r="15" spans="1:8" s="194" customFormat="1" ht="15">
      <c r="A15" s="329">
        <v>7</v>
      </c>
      <c r="B15" s="328" t="s">
        <v>876</v>
      </c>
      <c r="C15" s="200">
        <v>983</v>
      </c>
      <c r="D15" s="200">
        <v>110</v>
      </c>
      <c r="E15" s="200">
        <v>920</v>
      </c>
      <c r="F15" s="200">
        <f t="shared" si="0"/>
        <v>2013</v>
      </c>
      <c r="G15" s="200">
        <v>2013</v>
      </c>
      <c r="H15" s="200">
        <v>0</v>
      </c>
    </row>
    <row r="16" spans="1:8" s="194" customFormat="1" ht="15">
      <c r="A16" s="329">
        <v>8</v>
      </c>
      <c r="B16" s="328" t="s">
        <v>877</v>
      </c>
      <c r="C16" s="200">
        <v>1078</v>
      </c>
      <c r="D16" s="200">
        <v>126</v>
      </c>
      <c r="E16" s="200">
        <v>831</v>
      </c>
      <c r="F16" s="200">
        <f t="shared" si="0"/>
        <v>2035</v>
      </c>
      <c r="G16" s="200">
        <v>2035</v>
      </c>
      <c r="H16" s="200">
        <v>0</v>
      </c>
    </row>
    <row r="17" spans="1:8" s="194" customFormat="1" ht="15">
      <c r="A17" s="329">
        <v>9</v>
      </c>
      <c r="B17" s="328" t="s">
        <v>878</v>
      </c>
      <c r="C17" s="200">
        <v>1177</v>
      </c>
      <c r="D17" s="200">
        <v>26</v>
      </c>
      <c r="E17" s="200">
        <v>479</v>
      </c>
      <c r="F17" s="200">
        <f t="shared" si="0"/>
        <v>1682</v>
      </c>
      <c r="G17" s="200">
        <v>1682</v>
      </c>
      <c r="H17" s="200">
        <v>0</v>
      </c>
    </row>
    <row r="18" spans="1:8" s="194" customFormat="1" ht="15">
      <c r="A18" s="329">
        <v>10</v>
      </c>
      <c r="B18" s="328" t="s">
        <v>879</v>
      </c>
      <c r="C18" s="200">
        <v>1127</v>
      </c>
      <c r="D18" s="200">
        <v>91</v>
      </c>
      <c r="E18" s="200">
        <v>581</v>
      </c>
      <c r="F18" s="200">
        <f t="shared" si="0"/>
        <v>1799</v>
      </c>
      <c r="G18" s="200">
        <v>1799</v>
      </c>
      <c r="H18" s="200"/>
    </row>
    <row r="19" spans="1:8" s="194" customFormat="1" ht="15">
      <c r="A19" s="329">
        <v>11</v>
      </c>
      <c r="B19" s="328" t="s">
        <v>880</v>
      </c>
      <c r="C19" s="200">
        <v>673</v>
      </c>
      <c r="D19" s="200">
        <v>94</v>
      </c>
      <c r="E19" s="200">
        <v>607</v>
      </c>
      <c r="F19" s="200">
        <f t="shared" si="0"/>
        <v>1374</v>
      </c>
      <c r="G19" s="200">
        <v>1374</v>
      </c>
      <c r="H19" s="200">
        <v>0</v>
      </c>
    </row>
    <row r="20" spans="1:8" s="194" customFormat="1" ht="15">
      <c r="A20" s="329">
        <v>12</v>
      </c>
      <c r="B20" s="328" t="s">
        <v>881</v>
      </c>
      <c r="C20" s="200">
        <v>526</v>
      </c>
      <c r="D20" s="200">
        <v>33</v>
      </c>
      <c r="E20" s="200">
        <v>473</v>
      </c>
      <c r="F20" s="200">
        <f t="shared" si="0"/>
        <v>1032</v>
      </c>
      <c r="G20" s="200">
        <v>1032</v>
      </c>
      <c r="H20" s="200"/>
    </row>
    <row r="21" spans="1:8" s="194" customFormat="1" ht="15">
      <c r="A21" s="329">
        <v>13</v>
      </c>
      <c r="B21" s="328" t="s">
        <v>882</v>
      </c>
      <c r="C21" s="200">
        <v>1540</v>
      </c>
      <c r="D21" s="200">
        <v>84</v>
      </c>
      <c r="E21" s="200">
        <v>1124</v>
      </c>
      <c r="F21" s="200">
        <f t="shared" si="0"/>
        <v>2748</v>
      </c>
      <c r="G21" s="200">
        <v>2748</v>
      </c>
      <c r="H21" s="200"/>
    </row>
    <row r="22" spans="1:8" s="194" customFormat="1" ht="15">
      <c r="A22" s="329">
        <v>14</v>
      </c>
      <c r="B22" s="328" t="s">
        <v>883</v>
      </c>
      <c r="C22" s="200">
        <v>1034</v>
      </c>
      <c r="D22" s="200">
        <v>77</v>
      </c>
      <c r="E22" s="200">
        <v>812</v>
      </c>
      <c r="F22" s="200">
        <f t="shared" si="0"/>
        <v>1923</v>
      </c>
      <c r="G22" s="200">
        <v>1923</v>
      </c>
      <c r="H22" s="200">
        <v>0</v>
      </c>
    </row>
    <row r="23" spans="1:8" s="194" customFormat="1" ht="15">
      <c r="A23" s="329">
        <v>15</v>
      </c>
      <c r="B23" s="328" t="s">
        <v>884</v>
      </c>
      <c r="C23" s="200">
        <v>1223</v>
      </c>
      <c r="D23" s="200">
        <v>328</v>
      </c>
      <c r="E23" s="200">
        <v>1510</v>
      </c>
      <c r="F23" s="200">
        <f t="shared" si="0"/>
        <v>3061</v>
      </c>
      <c r="G23" s="200">
        <v>3061</v>
      </c>
      <c r="H23" s="200"/>
    </row>
    <row r="24" spans="1:8" s="194" customFormat="1" ht="15">
      <c r="A24" s="329">
        <v>16</v>
      </c>
      <c r="B24" s="328" t="s">
        <v>885</v>
      </c>
      <c r="C24" s="200">
        <v>857</v>
      </c>
      <c r="D24" s="200">
        <v>195</v>
      </c>
      <c r="E24" s="200">
        <v>1085</v>
      </c>
      <c r="F24" s="200">
        <f t="shared" si="0"/>
        <v>2137</v>
      </c>
      <c r="G24" s="200">
        <v>2137</v>
      </c>
      <c r="H24" s="200">
        <v>0</v>
      </c>
    </row>
    <row r="25" spans="1:8" s="194" customFormat="1" ht="30">
      <c r="A25" s="366">
        <v>17</v>
      </c>
      <c r="B25" s="360" t="s">
        <v>886</v>
      </c>
      <c r="C25" s="361">
        <v>580</v>
      </c>
      <c r="D25" s="361">
        <v>247</v>
      </c>
      <c r="E25" s="361">
        <v>1562</v>
      </c>
      <c r="F25" s="361">
        <f t="shared" si="0"/>
        <v>2389</v>
      </c>
      <c r="G25" s="361">
        <v>2192</v>
      </c>
      <c r="H25" s="362" t="s">
        <v>1016</v>
      </c>
    </row>
    <row r="26" spans="1:8" s="194" customFormat="1" ht="15">
      <c r="A26" s="329">
        <v>18</v>
      </c>
      <c r="B26" s="328" t="s">
        <v>887</v>
      </c>
      <c r="C26" s="200">
        <v>1405</v>
      </c>
      <c r="D26" s="200">
        <v>132</v>
      </c>
      <c r="E26" s="200">
        <v>1312</v>
      </c>
      <c r="F26" s="200">
        <f t="shared" si="0"/>
        <v>2849</v>
      </c>
      <c r="G26" s="200">
        <v>2849</v>
      </c>
      <c r="H26" s="200"/>
    </row>
    <row r="27" spans="1:8" s="194" customFormat="1" ht="15">
      <c r="A27" s="329">
        <v>19</v>
      </c>
      <c r="B27" s="328" t="s">
        <v>888</v>
      </c>
      <c r="C27" s="200">
        <v>1616</v>
      </c>
      <c r="D27" s="200">
        <v>113</v>
      </c>
      <c r="E27" s="200">
        <v>1292</v>
      </c>
      <c r="F27" s="200">
        <f t="shared" si="0"/>
        <v>3021</v>
      </c>
      <c r="G27" s="200">
        <v>3021</v>
      </c>
      <c r="H27" s="200">
        <v>0</v>
      </c>
    </row>
    <row r="28" spans="1:8" s="194" customFormat="1" ht="15">
      <c r="A28" s="329">
        <v>20</v>
      </c>
      <c r="B28" s="328" t="s">
        <v>889</v>
      </c>
      <c r="C28" s="200">
        <v>1275</v>
      </c>
      <c r="D28" s="200">
        <v>15</v>
      </c>
      <c r="E28" s="200">
        <v>415</v>
      </c>
      <c r="F28" s="200">
        <f t="shared" si="0"/>
        <v>1705</v>
      </c>
      <c r="G28" s="200">
        <v>1705</v>
      </c>
      <c r="H28" s="200"/>
    </row>
    <row r="29" spans="1:8" s="194" customFormat="1" ht="15">
      <c r="A29" s="329">
        <v>21</v>
      </c>
      <c r="B29" s="328" t="s">
        <v>890</v>
      </c>
      <c r="C29" s="200">
        <v>2791</v>
      </c>
      <c r="D29" s="200">
        <v>188</v>
      </c>
      <c r="E29" s="200">
        <v>1470</v>
      </c>
      <c r="F29" s="200">
        <f t="shared" si="0"/>
        <v>4449</v>
      </c>
      <c r="G29" s="200">
        <v>4449</v>
      </c>
      <c r="H29" s="200"/>
    </row>
    <row r="30" spans="1:8" s="194" customFormat="1" ht="15">
      <c r="A30" s="329">
        <v>22</v>
      </c>
      <c r="B30" s="328" t="s">
        <v>891</v>
      </c>
      <c r="C30" s="200">
        <v>617</v>
      </c>
      <c r="D30" s="200">
        <v>145</v>
      </c>
      <c r="E30" s="200">
        <v>786</v>
      </c>
      <c r="F30" s="200">
        <f t="shared" si="0"/>
        <v>1548</v>
      </c>
      <c r="G30" s="200">
        <v>1548</v>
      </c>
      <c r="H30" s="200"/>
    </row>
    <row r="31" spans="1:8" s="194" customFormat="1" ht="15">
      <c r="A31" s="329">
        <v>23</v>
      </c>
      <c r="B31" s="328" t="s">
        <v>892</v>
      </c>
      <c r="C31" s="200">
        <v>657</v>
      </c>
      <c r="D31" s="200">
        <v>98</v>
      </c>
      <c r="E31" s="200">
        <v>828</v>
      </c>
      <c r="F31" s="200">
        <f t="shared" si="0"/>
        <v>1583</v>
      </c>
      <c r="G31" s="200">
        <v>1583</v>
      </c>
      <c r="H31" s="200"/>
    </row>
    <row r="32" spans="1:8" s="194" customFormat="1" ht="15">
      <c r="A32" s="329">
        <v>24</v>
      </c>
      <c r="B32" s="328" t="s">
        <v>893</v>
      </c>
      <c r="C32" s="200">
        <v>3118</v>
      </c>
      <c r="D32" s="200">
        <v>284</v>
      </c>
      <c r="E32" s="200">
        <v>2030</v>
      </c>
      <c r="F32" s="200">
        <f t="shared" si="0"/>
        <v>5432</v>
      </c>
      <c r="G32" s="200">
        <v>5432</v>
      </c>
      <c r="H32" s="200"/>
    </row>
    <row r="33" spans="1:8" s="194" customFormat="1" ht="15">
      <c r="A33" s="329">
        <v>25</v>
      </c>
      <c r="B33" s="328" t="s">
        <v>894</v>
      </c>
      <c r="C33" s="200">
        <v>2121</v>
      </c>
      <c r="D33" s="200">
        <v>72</v>
      </c>
      <c r="E33" s="200">
        <v>1015</v>
      </c>
      <c r="F33" s="200">
        <f t="shared" si="0"/>
        <v>3208</v>
      </c>
      <c r="G33" s="200">
        <v>3208</v>
      </c>
      <c r="H33" s="200"/>
    </row>
    <row r="34" spans="1:8" s="194" customFormat="1" ht="15">
      <c r="A34" s="329">
        <v>26</v>
      </c>
      <c r="B34" s="328" t="s">
        <v>895</v>
      </c>
      <c r="C34" s="200">
        <v>1729</v>
      </c>
      <c r="D34" s="200">
        <v>157</v>
      </c>
      <c r="E34" s="200">
        <v>1190</v>
      </c>
      <c r="F34" s="200">
        <f t="shared" si="0"/>
        <v>3076</v>
      </c>
      <c r="G34" s="200">
        <v>3076</v>
      </c>
      <c r="H34" s="200"/>
    </row>
    <row r="35" spans="1:8" s="194" customFormat="1" ht="15">
      <c r="A35" s="329">
        <v>27</v>
      </c>
      <c r="B35" s="328" t="s">
        <v>896</v>
      </c>
      <c r="C35" s="200">
        <v>1306</v>
      </c>
      <c r="D35" s="200">
        <v>126</v>
      </c>
      <c r="E35" s="200">
        <v>1083</v>
      </c>
      <c r="F35" s="200">
        <f>C35+D35+E35</f>
        <v>2515</v>
      </c>
      <c r="G35" s="200">
        <v>2515</v>
      </c>
      <c r="H35" s="200"/>
    </row>
    <row r="36" spans="1:8" s="194" customFormat="1" ht="15">
      <c r="A36" s="329">
        <v>28</v>
      </c>
      <c r="B36" s="328" t="s">
        <v>897</v>
      </c>
      <c r="C36" s="200">
        <v>1981</v>
      </c>
      <c r="D36" s="200">
        <v>191</v>
      </c>
      <c r="E36" s="200">
        <v>1264</v>
      </c>
      <c r="F36" s="200">
        <f t="shared" si="0"/>
        <v>3436</v>
      </c>
      <c r="G36" s="200">
        <v>3436</v>
      </c>
      <c r="H36" s="200">
        <v>0</v>
      </c>
    </row>
    <row r="37" spans="1:8" s="194" customFormat="1" ht="15">
      <c r="A37" s="329">
        <v>29</v>
      </c>
      <c r="B37" s="328" t="s">
        <v>898</v>
      </c>
      <c r="C37" s="200">
        <v>956</v>
      </c>
      <c r="D37" s="200">
        <v>69</v>
      </c>
      <c r="E37" s="200">
        <v>645</v>
      </c>
      <c r="F37" s="200">
        <f t="shared" si="0"/>
        <v>1670</v>
      </c>
      <c r="G37" s="200">
        <v>1670</v>
      </c>
      <c r="H37" s="200"/>
    </row>
    <row r="38" spans="1:8" s="194" customFormat="1" ht="15">
      <c r="A38" s="329">
        <v>30</v>
      </c>
      <c r="B38" s="328" t="s">
        <v>899</v>
      </c>
      <c r="C38" s="200">
        <v>2138</v>
      </c>
      <c r="D38" s="200">
        <v>405</v>
      </c>
      <c r="E38" s="200">
        <v>1530</v>
      </c>
      <c r="F38" s="200">
        <f t="shared" si="0"/>
        <v>4073</v>
      </c>
      <c r="G38" s="200">
        <v>4073</v>
      </c>
      <c r="H38" s="200">
        <v>0</v>
      </c>
    </row>
    <row r="39" spans="1:8" s="194" customFormat="1" ht="15">
      <c r="A39" s="329">
        <v>31</v>
      </c>
      <c r="B39" s="328" t="s">
        <v>900</v>
      </c>
      <c r="C39" s="200">
        <v>1278</v>
      </c>
      <c r="D39" s="200">
        <v>237</v>
      </c>
      <c r="E39" s="200">
        <v>1270</v>
      </c>
      <c r="F39" s="200">
        <f t="shared" si="0"/>
        <v>2785</v>
      </c>
      <c r="G39" s="200">
        <v>2785</v>
      </c>
      <c r="H39" s="200">
        <v>0</v>
      </c>
    </row>
    <row r="40" spans="1:8" s="194" customFormat="1" ht="15">
      <c r="A40" s="329">
        <v>32</v>
      </c>
      <c r="B40" s="328" t="s">
        <v>901</v>
      </c>
      <c r="C40" s="200">
        <v>1654</v>
      </c>
      <c r="D40" s="200">
        <v>42</v>
      </c>
      <c r="E40" s="200">
        <v>697</v>
      </c>
      <c r="F40" s="200">
        <f t="shared" si="0"/>
        <v>2393</v>
      </c>
      <c r="G40" s="200">
        <v>2393</v>
      </c>
      <c r="H40" s="200"/>
    </row>
    <row r="41" spans="1:8" s="194" customFormat="1" ht="15">
      <c r="A41" s="329">
        <v>33</v>
      </c>
      <c r="B41" s="328" t="s">
        <v>902</v>
      </c>
      <c r="C41" s="200">
        <v>704</v>
      </c>
      <c r="D41" s="200">
        <v>53</v>
      </c>
      <c r="E41" s="200">
        <v>489</v>
      </c>
      <c r="F41" s="200">
        <f t="shared" si="0"/>
        <v>1246</v>
      </c>
      <c r="G41" s="200">
        <v>1246</v>
      </c>
      <c r="H41" s="200"/>
    </row>
    <row r="42" spans="1:8" s="194" customFormat="1" ht="15">
      <c r="A42" s="329">
        <v>34</v>
      </c>
      <c r="B42" s="328" t="s">
        <v>903</v>
      </c>
      <c r="C42" s="200">
        <v>519</v>
      </c>
      <c r="D42" s="200">
        <v>62</v>
      </c>
      <c r="E42" s="200">
        <v>529</v>
      </c>
      <c r="F42" s="200">
        <f t="shared" si="0"/>
        <v>1110</v>
      </c>
      <c r="G42" s="200">
        <v>1110</v>
      </c>
      <c r="H42" s="200"/>
    </row>
    <row r="43" spans="1:8" s="194" customFormat="1" ht="15">
      <c r="A43" s="329">
        <v>35</v>
      </c>
      <c r="B43" s="328" t="s">
        <v>904</v>
      </c>
      <c r="C43" s="200">
        <v>1380</v>
      </c>
      <c r="D43" s="200">
        <v>218</v>
      </c>
      <c r="E43" s="200">
        <v>1184</v>
      </c>
      <c r="F43" s="200">
        <f t="shared" si="0"/>
        <v>2782</v>
      </c>
      <c r="G43" s="200">
        <v>2782</v>
      </c>
      <c r="H43" s="200"/>
    </row>
    <row r="44" spans="1:8" s="194" customFormat="1" ht="16.5">
      <c r="A44" s="327"/>
      <c r="B44" s="327" t="s">
        <v>19</v>
      </c>
      <c r="C44" s="200">
        <f>SUM(C9:C43)</f>
        <v>46868</v>
      </c>
      <c r="D44" s="200">
        <f>SUM(D9:D43)</f>
        <v>4940</v>
      </c>
      <c r="E44" s="200">
        <f>SUM(E9:E43)</f>
        <v>34972</v>
      </c>
      <c r="F44" s="200">
        <f t="shared" si="0"/>
        <v>86780</v>
      </c>
      <c r="G44" s="200">
        <f>SUM(G9:G43)</f>
        <v>86583</v>
      </c>
      <c r="H44" s="200">
        <v>197</v>
      </c>
    </row>
    <row r="45" ht="12.75">
      <c r="A45" s="202" t="s">
        <v>280</v>
      </c>
    </row>
    <row r="48" spans="1:9" ht="15" customHeight="1">
      <c r="A48" s="203"/>
      <c r="B48" s="203"/>
      <c r="C48" s="203"/>
      <c r="D48" s="203"/>
      <c r="E48" s="203"/>
      <c r="F48" s="217"/>
      <c r="G48" s="217"/>
      <c r="H48" s="204"/>
      <c r="I48" s="204"/>
    </row>
    <row r="49" spans="1:9" ht="15" customHeight="1">
      <c r="A49" s="203"/>
      <c r="B49" s="203"/>
      <c r="C49" s="748" t="s">
        <v>1021</v>
      </c>
      <c r="D49" s="748"/>
      <c r="E49" s="83"/>
      <c r="F49" s="83"/>
      <c r="G49" s="748" t="s">
        <v>1024</v>
      </c>
      <c r="H49" s="748"/>
      <c r="I49" s="83"/>
    </row>
    <row r="50" spans="1:9" ht="15" customHeight="1">
      <c r="A50" s="203"/>
      <c r="B50" s="203"/>
      <c r="C50" s="748" t="s">
        <v>1022</v>
      </c>
      <c r="D50" s="748"/>
      <c r="E50" s="83"/>
      <c r="F50" s="83"/>
      <c r="G50" s="748" t="s">
        <v>1025</v>
      </c>
      <c r="H50" s="748"/>
      <c r="I50" s="83"/>
    </row>
    <row r="51" spans="1:9" ht="12.75" customHeight="1">
      <c r="A51" s="203" t="s">
        <v>12</v>
      </c>
      <c r="C51" s="735" t="s">
        <v>1023</v>
      </c>
      <c r="D51" s="735"/>
      <c r="E51" s="36"/>
      <c r="F51" s="36"/>
      <c r="G51" s="735" t="s">
        <v>1023</v>
      </c>
      <c r="H51" s="735"/>
      <c r="I51" s="36"/>
    </row>
    <row r="52" spans="1:12" ht="12.75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</row>
  </sheetData>
  <sheetProtection/>
  <mergeCells count="11">
    <mergeCell ref="G49:H49"/>
    <mergeCell ref="G50:H50"/>
    <mergeCell ref="G51:H51"/>
    <mergeCell ref="C49:D49"/>
    <mergeCell ref="C50:D50"/>
    <mergeCell ref="C51:D51"/>
    <mergeCell ref="A1:G1"/>
    <mergeCell ref="A2:H2"/>
    <mergeCell ref="A4:H4"/>
    <mergeCell ref="G6:H6"/>
    <mergeCell ref="A5:C5"/>
  </mergeCells>
  <printOptions horizontalCentered="1"/>
  <pageMargins left="0.7086614173228347" right="0.7086614173228347" top="0.2362204724409449" bottom="0" header="0.24" footer="0.2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SheetLayoutView="85" zoomScalePageLayoutView="0" workbookViewId="0" topLeftCell="A4">
      <pane xSplit="2" ySplit="8" topLeftCell="C4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O4" sqref="O1:R16384"/>
    </sheetView>
  </sheetViews>
  <sheetFormatPr defaultColWidth="9.140625" defaultRowHeight="12.75"/>
  <cols>
    <col min="1" max="1" width="8.00390625" style="0" customWidth="1"/>
    <col min="2" max="2" width="15.421875" style="0" bestFit="1" customWidth="1"/>
    <col min="3" max="3" width="9.7109375" style="0" customWidth="1"/>
    <col min="5" max="5" width="9.57421875" style="0" customWidth="1"/>
    <col min="6" max="6" width="9.7109375" style="0" customWidth="1"/>
    <col min="7" max="7" width="10.00390625" style="0" customWidth="1"/>
    <col min="8" max="8" width="9.8515625" style="0" customWidth="1"/>
    <col min="10" max="10" width="10.7109375" style="0" customWidth="1"/>
    <col min="11" max="11" width="8.8515625" style="0" customWidth="1"/>
    <col min="12" max="12" width="9.8515625" style="0" customWidth="1"/>
    <col min="13" max="13" width="8.8515625" style="0" customWidth="1"/>
    <col min="14" max="14" width="11.00390625" style="0" customWidth="1"/>
  </cols>
  <sheetData>
    <row r="1" spans="4:13" ht="12.75" customHeight="1">
      <c r="D1" s="735"/>
      <c r="E1" s="735"/>
      <c r="F1" s="735"/>
      <c r="G1" s="735"/>
      <c r="H1" s="735"/>
      <c r="I1" s="735"/>
      <c r="L1" s="810" t="s">
        <v>88</v>
      </c>
      <c r="M1" s="810"/>
    </row>
    <row r="2" spans="1:13" ht="15.75">
      <c r="A2" s="732" t="s">
        <v>0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</row>
    <row r="3" spans="1:13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</row>
    <row r="4" ht="11.25" customHeight="1"/>
    <row r="5" spans="1:13" ht="15.75">
      <c r="A5" s="732" t="s">
        <v>661</v>
      </c>
      <c r="B5" s="732"/>
      <c r="C5" s="732"/>
      <c r="D5" s="732"/>
      <c r="E5" s="732"/>
      <c r="F5" s="732"/>
      <c r="G5" s="732"/>
      <c r="H5" s="732"/>
      <c r="I5" s="732"/>
      <c r="J5" s="732"/>
      <c r="K5" s="732"/>
      <c r="L5" s="732"/>
      <c r="M5" s="732"/>
    </row>
    <row r="7" spans="1:14" ht="12.75">
      <c r="A7" s="736" t="s">
        <v>1004</v>
      </c>
      <c r="B7" s="736"/>
      <c r="C7" s="736"/>
      <c r="K7" s="108"/>
      <c r="L7" s="807" t="s">
        <v>820</v>
      </c>
      <c r="M7" s="807"/>
      <c r="N7" s="807"/>
    </row>
    <row r="8" spans="1:14" ht="12.75">
      <c r="A8" s="32"/>
      <c r="B8" s="32"/>
      <c r="K8" s="99"/>
      <c r="L8" s="124"/>
      <c r="M8" s="131"/>
      <c r="N8" s="124"/>
    </row>
    <row r="9" spans="1:14" ht="15.75" customHeight="1">
      <c r="A9" s="808" t="s">
        <v>2</v>
      </c>
      <c r="B9" s="808" t="s">
        <v>3</v>
      </c>
      <c r="C9" s="711" t="s">
        <v>4</v>
      </c>
      <c r="D9" s="711"/>
      <c r="E9" s="711"/>
      <c r="F9" s="694"/>
      <c r="G9" s="806"/>
      <c r="H9" s="705" t="s">
        <v>102</v>
      </c>
      <c r="I9" s="705"/>
      <c r="J9" s="705"/>
      <c r="K9" s="705"/>
      <c r="L9" s="705"/>
      <c r="M9" s="808" t="s">
        <v>135</v>
      </c>
      <c r="N9" s="709" t="s">
        <v>136</v>
      </c>
    </row>
    <row r="10" spans="1:15" ht="38.25">
      <c r="A10" s="809"/>
      <c r="B10" s="809"/>
      <c r="C10" s="5" t="s">
        <v>5</v>
      </c>
      <c r="D10" s="5" t="s">
        <v>6</v>
      </c>
      <c r="E10" s="5" t="s">
        <v>369</v>
      </c>
      <c r="F10" s="7" t="s">
        <v>100</v>
      </c>
      <c r="G10" s="6" t="s">
        <v>370</v>
      </c>
      <c r="H10" s="5" t="s">
        <v>5</v>
      </c>
      <c r="I10" s="5" t="s">
        <v>6</v>
      </c>
      <c r="J10" s="5" t="s">
        <v>369</v>
      </c>
      <c r="K10" s="7" t="s">
        <v>100</v>
      </c>
      <c r="L10" s="7" t="s">
        <v>371</v>
      </c>
      <c r="M10" s="809"/>
      <c r="N10" s="709"/>
      <c r="O10" s="13"/>
    </row>
    <row r="11" spans="1:14" s="15" customFormat="1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12.75">
      <c r="A12" s="8">
        <v>1</v>
      </c>
      <c r="B12" s="328" t="s">
        <v>870</v>
      </c>
      <c r="C12" s="9">
        <v>3055</v>
      </c>
      <c r="D12" s="9">
        <v>78</v>
      </c>
      <c r="E12" s="9">
        <v>0</v>
      </c>
      <c r="F12" s="70">
        <v>0</v>
      </c>
      <c r="G12" s="10">
        <f>'AT-3'!C9</f>
        <v>3133</v>
      </c>
      <c r="H12" s="9">
        <v>3055</v>
      </c>
      <c r="I12" s="9">
        <v>78</v>
      </c>
      <c r="J12" s="9">
        <v>0</v>
      </c>
      <c r="K12" s="9">
        <v>0</v>
      </c>
      <c r="L12" s="9">
        <f>H12+I12+J12+K12</f>
        <v>3133</v>
      </c>
      <c r="M12" s="9">
        <f>G12-L12</f>
        <v>0</v>
      </c>
      <c r="N12" s="9"/>
    </row>
    <row r="13" spans="1:14" ht="12.75">
      <c r="A13" s="8">
        <v>2</v>
      </c>
      <c r="B13" s="328" t="s">
        <v>871</v>
      </c>
      <c r="C13" s="9">
        <v>602</v>
      </c>
      <c r="D13" s="9">
        <v>35</v>
      </c>
      <c r="E13" s="9">
        <v>0</v>
      </c>
      <c r="F13" s="70">
        <v>0</v>
      </c>
      <c r="G13" s="10">
        <f>'AT-3'!C10</f>
        <v>637</v>
      </c>
      <c r="H13" s="9">
        <v>602</v>
      </c>
      <c r="I13" s="9">
        <v>35</v>
      </c>
      <c r="J13" s="9">
        <v>0</v>
      </c>
      <c r="K13" s="9">
        <v>0</v>
      </c>
      <c r="L13" s="9">
        <f aca="true" t="shared" si="0" ref="L13:L46">H13+I13+J13+K13</f>
        <v>637</v>
      </c>
      <c r="M13" s="9">
        <f aca="true" t="shared" si="1" ref="M13:M46">G13-L13</f>
        <v>0</v>
      </c>
      <c r="N13" s="9"/>
    </row>
    <row r="14" spans="1:14" ht="12.75">
      <c r="A14" s="8">
        <v>3</v>
      </c>
      <c r="B14" s="328" t="s">
        <v>872</v>
      </c>
      <c r="C14" s="9">
        <v>931</v>
      </c>
      <c r="D14" s="9">
        <v>81</v>
      </c>
      <c r="E14" s="9">
        <v>30</v>
      </c>
      <c r="F14" s="70">
        <v>0</v>
      </c>
      <c r="G14" s="10">
        <f>'AT-3'!C11</f>
        <v>1042</v>
      </c>
      <c r="H14" s="9">
        <v>931</v>
      </c>
      <c r="I14" s="9">
        <v>81</v>
      </c>
      <c r="J14" s="9">
        <v>30</v>
      </c>
      <c r="K14" s="9">
        <v>0</v>
      </c>
      <c r="L14" s="9">
        <f t="shared" si="0"/>
        <v>1042</v>
      </c>
      <c r="M14" s="9">
        <f t="shared" si="1"/>
        <v>0</v>
      </c>
      <c r="N14" s="9"/>
    </row>
    <row r="15" spans="1:14" ht="12.75">
      <c r="A15" s="8">
        <v>4</v>
      </c>
      <c r="B15" s="328" t="s">
        <v>873</v>
      </c>
      <c r="C15" s="9">
        <v>1356</v>
      </c>
      <c r="D15" s="9">
        <v>108</v>
      </c>
      <c r="E15" s="9">
        <v>0</v>
      </c>
      <c r="F15" s="70">
        <v>0</v>
      </c>
      <c r="G15" s="10">
        <f>'AT-3'!C12</f>
        <v>1464</v>
      </c>
      <c r="H15" s="9">
        <v>1356</v>
      </c>
      <c r="I15" s="9">
        <v>108</v>
      </c>
      <c r="J15" s="9">
        <v>0</v>
      </c>
      <c r="K15" s="9">
        <v>0</v>
      </c>
      <c r="L15" s="9">
        <f t="shared" si="0"/>
        <v>1464</v>
      </c>
      <c r="M15" s="9">
        <f t="shared" si="1"/>
        <v>0</v>
      </c>
      <c r="N15" s="9"/>
    </row>
    <row r="16" spans="1:14" ht="12.75">
      <c r="A16" s="8">
        <v>5</v>
      </c>
      <c r="B16" s="328" t="s">
        <v>874</v>
      </c>
      <c r="C16" s="9">
        <v>1850</v>
      </c>
      <c r="D16" s="9">
        <v>83</v>
      </c>
      <c r="E16" s="9">
        <v>23</v>
      </c>
      <c r="F16" s="70">
        <v>0</v>
      </c>
      <c r="G16" s="10">
        <f>'AT-3'!C13</f>
        <v>1956</v>
      </c>
      <c r="H16" s="9">
        <v>1850</v>
      </c>
      <c r="I16" s="9">
        <v>83</v>
      </c>
      <c r="J16" s="9">
        <v>23</v>
      </c>
      <c r="K16" s="9">
        <v>0</v>
      </c>
      <c r="L16" s="9">
        <f t="shared" si="0"/>
        <v>1956</v>
      </c>
      <c r="M16" s="9">
        <f t="shared" si="1"/>
        <v>0</v>
      </c>
      <c r="N16" s="9"/>
    </row>
    <row r="17" spans="1:14" ht="12.75">
      <c r="A17" s="8">
        <v>6</v>
      </c>
      <c r="B17" s="328" t="s">
        <v>875</v>
      </c>
      <c r="C17" s="9">
        <v>523</v>
      </c>
      <c r="D17" s="9">
        <v>70</v>
      </c>
      <c r="E17" s="9">
        <v>0</v>
      </c>
      <c r="F17" s="70">
        <v>0</v>
      </c>
      <c r="G17" s="10">
        <f>'AT-3'!C14</f>
        <v>593</v>
      </c>
      <c r="H17" s="9">
        <v>523</v>
      </c>
      <c r="I17" s="9">
        <v>70</v>
      </c>
      <c r="J17" s="9">
        <v>0</v>
      </c>
      <c r="K17" s="9">
        <v>0</v>
      </c>
      <c r="L17" s="9">
        <f t="shared" si="0"/>
        <v>593</v>
      </c>
      <c r="M17" s="9">
        <f t="shared" si="1"/>
        <v>0</v>
      </c>
      <c r="N17" s="9"/>
    </row>
    <row r="18" spans="1:14" ht="12.75">
      <c r="A18" s="8">
        <v>7</v>
      </c>
      <c r="B18" s="328" t="s">
        <v>876</v>
      </c>
      <c r="C18" s="9">
        <v>913</v>
      </c>
      <c r="D18" s="9">
        <v>70</v>
      </c>
      <c r="E18" s="9">
        <v>0</v>
      </c>
      <c r="F18" s="70">
        <v>0</v>
      </c>
      <c r="G18" s="10">
        <f>'AT-3'!C15</f>
        <v>983</v>
      </c>
      <c r="H18" s="9">
        <v>913</v>
      </c>
      <c r="I18" s="9">
        <v>70</v>
      </c>
      <c r="J18" s="9">
        <v>0</v>
      </c>
      <c r="K18" s="9">
        <v>0</v>
      </c>
      <c r="L18" s="9">
        <f t="shared" si="0"/>
        <v>983</v>
      </c>
      <c r="M18" s="9">
        <f t="shared" si="1"/>
        <v>0</v>
      </c>
      <c r="N18" s="9"/>
    </row>
    <row r="19" spans="1:14" ht="12.75">
      <c r="A19" s="8">
        <v>8</v>
      </c>
      <c r="B19" s="328" t="s">
        <v>877</v>
      </c>
      <c r="C19" s="9">
        <v>1032</v>
      </c>
      <c r="D19" s="9">
        <v>46</v>
      </c>
      <c r="E19" s="9">
        <v>0</v>
      </c>
      <c r="F19" s="70">
        <v>0</v>
      </c>
      <c r="G19" s="10">
        <f>'AT-3'!C16</f>
        <v>1078</v>
      </c>
      <c r="H19" s="9">
        <v>1032</v>
      </c>
      <c r="I19" s="9">
        <v>46</v>
      </c>
      <c r="J19" s="9">
        <v>0</v>
      </c>
      <c r="K19" s="9">
        <v>0</v>
      </c>
      <c r="L19" s="9">
        <f t="shared" si="0"/>
        <v>1078</v>
      </c>
      <c r="M19" s="9">
        <f t="shared" si="1"/>
        <v>0</v>
      </c>
      <c r="N19" s="9"/>
    </row>
    <row r="20" spans="1:14" ht="12.75">
      <c r="A20" s="8">
        <v>9</v>
      </c>
      <c r="B20" s="328" t="s">
        <v>878</v>
      </c>
      <c r="C20" s="9">
        <v>1061</v>
      </c>
      <c r="D20" s="9">
        <v>100</v>
      </c>
      <c r="E20" s="9">
        <v>16</v>
      </c>
      <c r="F20" s="70">
        <v>0</v>
      </c>
      <c r="G20" s="10">
        <f>'AT-3'!C17</f>
        <v>1177</v>
      </c>
      <c r="H20" s="9">
        <v>1061</v>
      </c>
      <c r="I20" s="9">
        <v>100</v>
      </c>
      <c r="J20" s="9">
        <v>16</v>
      </c>
      <c r="K20" s="9"/>
      <c r="L20" s="9">
        <f t="shared" si="0"/>
        <v>1177</v>
      </c>
      <c r="M20" s="9">
        <f t="shared" si="1"/>
        <v>0</v>
      </c>
      <c r="N20" s="9"/>
    </row>
    <row r="21" spans="1:14" ht="12.75">
      <c r="A21" s="8">
        <v>10</v>
      </c>
      <c r="B21" s="328" t="s">
        <v>879</v>
      </c>
      <c r="C21" s="9">
        <v>1112</v>
      </c>
      <c r="D21" s="9">
        <v>15</v>
      </c>
      <c r="E21" s="9">
        <v>0</v>
      </c>
      <c r="F21" s="70">
        <v>0</v>
      </c>
      <c r="G21" s="10">
        <f>'AT-3'!C18</f>
        <v>1127</v>
      </c>
      <c r="H21" s="9">
        <v>1112</v>
      </c>
      <c r="I21" s="9">
        <v>15</v>
      </c>
      <c r="J21" s="9">
        <v>0</v>
      </c>
      <c r="K21" s="9">
        <v>0</v>
      </c>
      <c r="L21" s="9">
        <f t="shared" si="0"/>
        <v>1127</v>
      </c>
      <c r="M21" s="9">
        <f t="shared" si="1"/>
        <v>0</v>
      </c>
      <c r="N21" s="9"/>
    </row>
    <row r="22" spans="1:14" ht="12.75">
      <c r="A22" s="8">
        <v>11</v>
      </c>
      <c r="B22" s="328" t="s">
        <v>880</v>
      </c>
      <c r="C22" s="9">
        <v>641</v>
      </c>
      <c r="D22" s="9">
        <v>32</v>
      </c>
      <c r="E22" s="9">
        <v>0</v>
      </c>
      <c r="F22" s="70">
        <v>0</v>
      </c>
      <c r="G22" s="10">
        <f>'AT-3'!C19</f>
        <v>673</v>
      </c>
      <c r="H22" s="9">
        <v>641</v>
      </c>
      <c r="I22" s="9">
        <v>32</v>
      </c>
      <c r="J22" s="9">
        <v>0</v>
      </c>
      <c r="K22" s="9">
        <v>0</v>
      </c>
      <c r="L22" s="9">
        <f t="shared" si="0"/>
        <v>673</v>
      </c>
      <c r="M22" s="9">
        <f t="shared" si="1"/>
        <v>0</v>
      </c>
      <c r="N22" s="9"/>
    </row>
    <row r="23" spans="1:14" ht="12.75">
      <c r="A23" s="8">
        <v>12</v>
      </c>
      <c r="B23" s="328" t="s">
        <v>881</v>
      </c>
      <c r="C23" s="9">
        <v>503</v>
      </c>
      <c r="D23" s="9">
        <v>23</v>
      </c>
      <c r="E23" s="9">
        <v>0</v>
      </c>
      <c r="F23" s="70">
        <v>0</v>
      </c>
      <c r="G23" s="10">
        <f>'AT-3'!C20</f>
        <v>526</v>
      </c>
      <c r="H23" s="9">
        <v>503</v>
      </c>
      <c r="I23" s="9">
        <v>23</v>
      </c>
      <c r="J23" s="9">
        <v>0</v>
      </c>
      <c r="K23" s="9">
        <v>0</v>
      </c>
      <c r="L23" s="9">
        <f t="shared" si="0"/>
        <v>526</v>
      </c>
      <c r="M23" s="9">
        <f t="shared" si="1"/>
        <v>0</v>
      </c>
      <c r="N23" s="9"/>
    </row>
    <row r="24" spans="1:14" ht="12.75">
      <c r="A24" s="8">
        <v>13</v>
      </c>
      <c r="B24" s="328" t="s">
        <v>882</v>
      </c>
      <c r="C24" s="9">
        <v>1388</v>
      </c>
      <c r="D24" s="9">
        <v>123</v>
      </c>
      <c r="E24" s="9">
        <v>28</v>
      </c>
      <c r="F24" s="70">
        <v>1</v>
      </c>
      <c r="G24" s="10">
        <f>'AT-3'!C21</f>
        <v>1540</v>
      </c>
      <c r="H24" s="9">
        <v>1388</v>
      </c>
      <c r="I24" s="9">
        <v>123</v>
      </c>
      <c r="J24" s="9">
        <v>28</v>
      </c>
      <c r="K24" s="9">
        <v>1</v>
      </c>
      <c r="L24" s="9">
        <f t="shared" si="0"/>
        <v>1540</v>
      </c>
      <c r="M24" s="9">
        <f t="shared" si="1"/>
        <v>0</v>
      </c>
      <c r="N24" s="9"/>
    </row>
    <row r="25" spans="1:14" ht="12.75">
      <c r="A25" s="8">
        <v>14</v>
      </c>
      <c r="B25" s="328" t="s">
        <v>883</v>
      </c>
      <c r="C25" s="9">
        <v>979</v>
      </c>
      <c r="D25" s="9">
        <v>55</v>
      </c>
      <c r="E25" s="9">
        <v>0</v>
      </c>
      <c r="F25" s="70">
        <v>0</v>
      </c>
      <c r="G25" s="10">
        <f>'AT-3'!C22</f>
        <v>1034</v>
      </c>
      <c r="H25" s="9">
        <v>979</v>
      </c>
      <c r="I25" s="9">
        <v>55</v>
      </c>
      <c r="J25" s="9">
        <v>0</v>
      </c>
      <c r="K25" s="9">
        <v>0</v>
      </c>
      <c r="L25" s="9">
        <f t="shared" si="0"/>
        <v>1034</v>
      </c>
      <c r="M25" s="9">
        <f t="shared" si="1"/>
        <v>0</v>
      </c>
      <c r="N25" s="9"/>
    </row>
    <row r="26" spans="1:14" ht="12.75">
      <c r="A26" s="8">
        <v>15</v>
      </c>
      <c r="B26" s="328" t="s">
        <v>884</v>
      </c>
      <c r="C26" s="9">
        <v>1103</v>
      </c>
      <c r="D26" s="9">
        <v>120</v>
      </c>
      <c r="E26" s="9">
        <v>0</v>
      </c>
      <c r="F26" s="70">
        <v>0</v>
      </c>
      <c r="G26" s="10">
        <f>'AT-3'!C23</f>
        <v>1223</v>
      </c>
      <c r="H26" s="9">
        <v>1103</v>
      </c>
      <c r="I26" s="9">
        <v>120</v>
      </c>
      <c r="J26" s="9">
        <v>0</v>
      </c>
      <c r="K26" s="9">
        <v>0</v>
      </c>
      <c r="L26" s="9">
        <f t="shared" si="0"/>
        <v>1223</v>
      </c>
      <c r="M26" s="9">
        <f t="shared" si="1"/>
        <v>0</v>
      </c>
      <c r="N26" s="9"/>
    </row>
    <row r="27" spans="1:14" ht="12.75">
      <c r="A27" s="8">
        <v>16</v>
      </c>
      <c r="B27" s="328" t="s">
        <v>885</v>
      </c>
      <c r="C27" s="9">
        <v>724</v>
      </c>
      <c r="D27" s="9">
        <v>133</v>
      </c>
      <c r="E27" s="9">
        <v>0</v>
      </c>
      <c r="F27" s="70">
        <v>0</v>
      </c>
      <c r="G27" s="10">
        <f>'AT-3'!C24</f>
        <v>857</v>
      </c>
      <c r="H27" s="9">
        <v>724</v>
      </c>
      <c r="I27" s="9">
        <v>133</v>
      </c>
      <c r="J27" s="9">
        <v>0</v>
      </c>
      <c r="K27" s="9">
        <v>0</v>
      </c>
      <c r="L27" s="9">
        <f t="shared" si="0"/>
        <v>857</v>
      </c>
      <c r="M27" s="9">
        <f t="shared" si="1"/>
        <v>0</v>
      </c>
      <c r="N27" s="9"/>
    </row>
    <row r="28" spans="1:16" ht="12.75">
      <c r="A28" s="8">
        <v>17</v>
      </c>
      <c r="B28" s="328" t="s">
        <v>886</v>
      </c>
      <c r="C28" s="9">
        <v>158</v>
      </c>
      <c r="D28" s="9">
        <v>422</v>
      </c>
      <c r="E28" s="9">
        <v>0</v>
      </c>
      <c r="F28" s="70">
        <v>0</v>
      </c>
      <c r="G28" s="10">
        <f>'AT-3'!C25</f>
        <v>580</v>
      </c>
      <c r="H28" s="9">
        <v>158</v>
      </c>
      <c r="I28" s="9">
        <v>393</v>
      </c>
      <c r="J28" s="9"/>
      <c r="K28" s="9"/>
      <c r="L28" s="9">
        <f t="shared" si="0"/>
        <v>551</v>
      </c>
      <c r="M28" s="9">
        <f t="shared" si="1"/>
        <v>29</v>
      </c>
      <c r="N28" s="9" t="s">
        <v>1017</v>
      </c>
      <c r="P28">
        <f>1411108.622-1440489.374</f>
        <v>-29380.752000000095</v>
      </c>
    </row>
    <row r="29" spans="1:14" ht="12.75">
      <c r="A29" s="8">
        <v>18</v>
      </c>
      <c r="B29" s="328" t="s">
        <v>887</v>
      </c>
      <c r="C29" s="9">
        <v>1151</v>
      </c>
      <c r="D29" s="9">
        <v>254</v>
      </c>
      <c r="E29" s="9">
        <v>0</v>
      </c>
      <c r="F29" s="70">
        <v>0</v>
      </c>
      <c r="G29" s="10">
        <f>'AT-3'!C26</f>
        <v>1405</v>
      </c>
      <c r="H29" s="9">
        <v>1151</v>
      </c>
      <c r="I29" s="9">
        <v>254</v>
      </c>
      <c r="J29" s="9">
        <v>0</v>
      </c>
      <c r="K29" s="9">
        <v>0</v>
      </c>
      <c r="L29" s="9">
        <f t="shared" si="0"/>
        <v>1405</v>
      </c>
      <c r="M29" s="9">
        <f t="shared" si="1"/>
        <v>0</v>
      </c>
      <c r="N29" s="9"/>
    </row>
    <row r="30" spans="1:14" ht="12.75">
      <c r="A30" s="8">
        <v>19</v>
      </c>
      <c r="B30" s="328" t="s">
        <v>888</v>
      </c>
      <c r="C30" s="9">
        <v>1453</v>
      </c>
      <c r="D30" s="9">
        <v>163</v>
      </c>
      <c r="E30" s="9">
        <v>0</v>
      </c>
      <c r="F30" s="70">
        <v>0</v>
      </c>
      <c r="G30" s="10">
        <f>'AT-3'!C27</f>
        <v>1616</v>
      </c>
      <c r="H30" s="9">
        <v>1453</v>
      </c>
      <c r="I30" s="9">
        <v>163</v>
      </c>
      <c r="J30" s="9">
        <v>0</v>
      </c>
      <c r="K30" s="9">
        <v>0</v>
      </c>
      <c r="L30" s="9">
        <f t="shared" si="0"/>
        <v>1616</v>
      </c>
      <c r="M30" s="9">
        <f t="shared" si="1"/>
        <v>0</v>
      </c>
      <c r="N30" s="9"/>
    </row>
    <row r="31" spans="1:14" ht="12.75">
      <c r="A31" s="8">
        <v>20</v>
      </c>
      <c r="B31" s="328" t="s">
        <v>889</v>
      </c>
      <c r="C31" s="9">
        <v>1223</v>
      </c>
      <c r="D31" s="9">
        <v>52</v>
      </c>
      <c r="E31" s="9">
        <v>0</v>
      </c>
      <c r="F31" s="70">
        <v>0</v>
      </c>
      <c r="G31" s="10">
        <f>'AT-3'!C28</f>
        <v>1275</v>
      </c>
      <c r="H31" s="9">
        <v>1223</v>
      </c>
      <c r="I31" s="9">
        <v>52</v>
      </c>
      <c r="J31" s="9">
        <v>0</v>
      </c>
      <c r="K31" s="9">
        <v>0</v>
      </c>
      <c r="L31" s="9">
        <f t="shared" si="0"/>
        <v>1275</v>
      </c>
      <c r="M31" s="9">
        <f t="shared" si="1"/>
        <v>0</v>
      </c>
      <c r="N31" s="9"/>
    </row>
    <row r="32" spans="1:14" ht="12.75">
      <c r="A32" s="8">
        <v>21</v>
      </c>
      <c r="B32" s="328" t="s">
        <v>890</v>
      </c>
      <c r="C32" s="9">
        <v>2674</v>
      </c>
      <c r="D32" s="9">
        <v>117</v>
      </c>
      <c r="E32" s="9">
        <v>0</v>
      </c>
      <c r="F32" s="70">
        <v>0</v>
      </c>
      <c r="G32" s="10">
        <f>'AT-3'!C29</f>
        <v>2791</v>
      </c>
      <c r="H32" s="9">
        <v>2674</v>
      </c>
      <c r="I32" s="9">
        <v>117</v>
      </c>
      <c r="J32" s="9">
        <v>0</v>
      </c>
      <c r="K32" s="9">
        <v>0</v>
      </c>
      <c r="L32" s="9">
        <f t="shared" si="0"/>
        <v>2791</v>
      </c>
      <c r="M32" s="9">
        <f t="shared" si="1"/>
        <v>0</v>
      </c>
      <c r="N32" s="9"/>
    </row>
    <row r="33" spans="1:14" ht="12.75">
      <c r="A33" s="8">
        <v>22</v>
      </c>
      <c r="B33" s="328" t="s">
        <v>891</v>
      </c>
      <c r="C33" s="9">
        <v>569</v>
      </c>
      <c r="D33" s="9">
        <v>48</v>
      </c>
      <c r="E33" s="9">
        <v>0</v>
      </c>
      <c r="F33" s="70">
        <v>0</v>
      </c>
      <c r="G33" s="10">
        <f>'AT-3'!C30</f>
        <v>617</v>
      </c>
      <c r="H33" s="9">
        <v>569</v>
      </c>
      <c r="I33" s="9">
        <v>48</v>
      </c>
      <c r="J33" s="9">
        <v>0</v>
      </c>
      <c r="K33" s="9">
        <v>0</v>
      </c>
      <c r="L33" s="9">
        <f t="shared" si="0"/>
        <v>617</v>
      </c>
      <c r="M33" s="9">
        <f t="shared" si="1"/>
        <v>0</v>
      </c>
      <c r="N33" s="9"/>
    </row>
    <row r="34" spans="1:14" ht="12.75">
      <c r="A34" s="8">
        <v>23</v>
      </c>
      <c r="B34" s="328" t="s">
        <v>892</v>
      </c>
      <c r="C34" s="9">
        <v>587</v>
      </c>
      <c r="D34" s="9">
        <v>65</v>
      </c>
      <c r="E34" s="9">
        <v>5</v>
      </c>
      <c r="F34" s="70">
        <v>0</v>
      </c>
      <c r="G34" s="10">
        <f>'AT-3'!C31</f>
        <v>657</v>
      </c>
      <c r="H34" s="9">
        <v>587</v>
      </c>
      <c r="I34" s="9">
        <v>65</v>
      </c>
      <c r="J34" s="9">
        <v>5</v>
      </c>
      <c r="K34" s="9">
        <v>0</v>
      </c>
      <c r="L34" s="9">
        <f t="shared" si="0"/>
        <v>657</v>
      </c>
      <c r="M34" s="9">
        <f t="shared" si="1"/>
        <v>0</v>
      </c>
      <c r="N34" s="9"/>
    </row>
    <row r="35" spans="1:14" ht="12.75">
      <c r="A35" s="8">
        <v>24</v>
      </c>
      <c r="B35" s="328" t="s">
        <v>893</v>
      </c>
      <c r="C35" s="9">
        <v>2931</v>
      </c>
      <c r="D35" s="9">
        <v>187</v>
      </c>
      <c r="E35" s="9">
        <v>0</v>
      </c>
      <c r="F35" s="70">
        <v>0</v>
      </c>
      <c r="G35" s="10">
        <f>'AT-3'!C32</f>
        <v>3118</v>
      </c>
      <c r="H35" s="9">
        <v>2931</v>
      </c>
      <c r="I35" s="9">
        <v>187</v>
      </c>
      <c r="J35" s="9">
        <v>0</v>
      </c>
      <c r="K35" s="9">
        <v>0</v>
      </c>
      <c r="L35" s="9">
        <f t="shared" si="0"/>
        <v>3118</v>
      </c>
      <c r="M35" s="9">
        <f t="shared" si="1"/>
        <v>0</v>
      </c>
      <c r="N35" s="9"/>
    </row>
    <row r="36" spans="1:14" ht="12.75">
      <c r="A36" s="8">
        <v>25</v>
      </c>
      <c r="B36" s="328" t="s">
        <v>894</v>
      </c>
      <c r="C36" s="9">
        <v>2078</v>
      </c>
      <c r="D36" s="9">
        <v>43</v>
      </c>
      <c r="E36" s="9">
        <v>0</v>
      </c>
      <c r="F36" s="70">
        <v>0</v>
      </c>
      <c r="G36" s="10">
        <f>'AT-3'!C33</f>
        <v>2121</v>
      </c>
      <c r="H36" s="9">
        <v>2078</v>
      </c>
      <c r="I36" s="9">
        <v>43</v>
      </c>
      <c r="J36" s="9">
        <v>0</v>
      </c>
      <c r="K36" s="9">
        <v>0</v>
      </c>
      <c r="L36" s="9">
        <f t="shared" si="0"/>
        <v>2121</v>
      </c>
      <c r="M36" s="9">
        <f t="shared" si="1"/>
        <v>0</v>
      </c>
      <c r="N36" s="9"/>
    </row>
    <row r="37" spans="1:14" ht="12.75">
      <c r="A37" s="8">
        <v>26</v>
      </c>
      <c r="B37" s="328" t="s">
        <v>895</v>
      </c>
      <c r="C37" s="9">
        <v>1708</v>
      </c>
      <c r="D37" s="9">
        <v>21</v>
      </c>
      <c r="E37" s="9">
        <v>0</v>
      </c>
      <c r="F37" s="70">
        <v>0</v>
      </c>
      <c r="G37" s="10">
        <f>'AT-3'!C34</f>
        <v>1729</v>
      </c>
      <c r="H37" s="9">
        <v>1708</v>
      </c>
      <c r="I37" s="9">
        <v>21</v>
      </c>
      <c r="J37" s="9">
        <v>0</v>
      </c>
      <c r="K37" s="9">
        <v>0</v>
      </c>
      <c r="L37" s="9">
        <f t="shared" si="0"/>
        <v>1729</v>
      </c>
      <c r="M37" s="9">
        <f t="shared" si="1"/>
        <v>0</v>
      </c>
      <c r="N37" s="9"/>
    </row>
    <row r="38" spans="1:14" ht="12.75">
      <c r="A38" s="8">
        <v>27</v>
      </c>
      <c r="B38" s="328" t="s">
        <v>896</v>
      </c>
      <c r="C38" s="9">
        <v>1207</v>
      </c>
      <c r="D38" s="9">
        <v>99</v>
      </c>
      <c r="E38" s="9">
        <v>0</v>
      </c>
      <c r="F38" s="70">
        <v>0</v>
      </c>
      <c r="G38" s="10">
        <f>'AT-3'!C35</f>
        <v>1306</v>
      </c>
      <c r="H38" s="9">
        <v>1207</v>
      </c>
      <c r="I38" s="9">
        <v>99</v>
      </c>
      <c r="J38" s="9">
        <v>0</v>
      </c>
      <c r="K38" s="9">
        <v>0</v>
      </c>
      <c r="L38" s="9">
        <f t="shared" si="0"/>
        <v>1306</v>
      </c>
      <c r="M38" s="9">
        <f t="shared" si="1"/>
        <v>0</v>
      </c>
      <c r="N38" s="9"/>
    </row>
    <row r="39" spans="1:14" ht="12.75">
      <c r="A39" s="8">
        <v>28</v>
      </c>
      <c r="B39" s="328" t="s">
        <v>897</v>
      </c>
      <c r="C39" s="9">
        <v>1907</v>
      </c>
      <c r="D39" s="9">
        <v>74</v>
      </c>
      <c r="E39" s="9">
        <v>0</v>
      </c>
      <c r="F39" s="70">
        <v>0</v>
      </c>
      <c r="G39" s="10">
        <f>'AT-3'!C36</f>
        <v>1981</v>
      </c>
      <c r="H39" s="9">
        <v>1907</v>
      </c>
      <c r="I39" s="9">
        <v>74</v>
      </c>
      <c r="J39" s="9">
        <v>0</v>
      </c>
      <c r="K39" s="9">
        <v>0</v>
      </c>
      <c r="L39" s="9">
        <f t="shared" si="0"/>
        <v>1981</v>
      </c>
      <c r="M39" s="9">
        <f t="shared" si="1"/>
        <v>0</v>
      </c>
      <c r="N39" s="9"/>
    </row>
    <row r="40" spans="1:14" ht="12.75">
      <c r="A40" s="8">
        <v>29</v>
      </c>
      <c r="B40" s="328" t="s">
        <v>898</v>
      </c>
      <c r="C40" s="9">
        <v>937</v>
      </c>
      <c r="D40" s="9">
        <v>19</v>
      </c>
      <c r="E40" s="9">
        <v>0</v>
      </c>
      <c r="F40" s="70">
        <v>0</v>
      </c>
      <c r="G40" s="10">
        <f>'AT-3'!C37</f>
        <v>956</v>
      </c>
      <c r="H40" s="9">
        <v>937</v>
      </c>
      <c r="I40" s="9">
        <v>19</v>
      </c>
      <c r="J40" s="9">
        <v>0</v>
      </c>
      <c r="K40" s="9">
        <v>0</v>
      </c>
      <c r="L40" s="9">
        <f t="shared" si="0"/>
        <v>956</v>
      </c>
      <c r="M40" s="9">
        <f t="shared" si="1"/>
        <v>0</v>
      </c>
      <c r="N40" s="9"/>
    </row>
    <row r="41" spans="1:14" ht="12.75">
      <c r="A41" s="8">
        <v>30</v>
      </c>
      <c r="B41" s="328" t="s">
        <v>899</v>
      </c>
      <c r="C41" s="9">
        <v>1827</v>
      </c>
      <c r="D41" s="9">
        <v>311</v>
      </c>
      <c r="E41" s="9">
        <v>0</v>
      </c>
      <c r="F41" s="70">
        <v>0</v>
      </c>
      <c r="G41" s="10">
        <f>'AT-3'!C38</f>
        <v>2138</v>
      </c>
      <c r="H41" s="9">
        <v>1827</v>
      </c>
      <c r="I41" s="9">
        <v>311</v>
      </c>
      <c r="J41" s="9">
        <v>0</v>
      </c>
      <c r="K41" s="9">
        <v>0</v>
      </c>
      <c r="L41" s="9">
        <f t="shared" si="0"/>
        <v>2138</v>
      </c>
      <c r="M41" s="9">
        <f t="shared" si="1"/>
        <v>0</v>
      </c>
      <c r="N41" s="9"/>
    </row>
    <row r="42" spans="1:14" ht="12.75">
      <c r="A42" s="8">
        <v>31</v>
      </c>
      <c r="B42" s="328" t="s">
        <v>900</v>
      </c>
      <c r="C42" s="9">
        <v>1087</v>
      </c>
      <c r="D42" s="9">
        <v>154</v>
      </c>
      <c r="E42" s="9">
        <v>37</v>
      </c>
      <c r="F42" s="70">
        <v>0</v>
      </c>
      <c r="G42" s="10">
        <f>'AT-3'!C39</f>
        <v>1278</v>
      </c>
      <c r="H42" s="9">
        <v>1087</v>
      </c>
      <c r="I42" s="9">
        <v>154</v>
      </c>
      <c r="J42" s="9">
        <v>37</v>
      </c>
      <c r="K42" s="9"/>
      <c r="L42" s="9">
        <f t="shared" si="0"/>
        <v>1278</v>
      </c>
      <c r="M42" s="9">
        <f t="shared" si="1"/>
        <v>0</v>
      </c>
      <c r="N42" s="9"/>
    </row>
    <row r="43" spans="1:14" ht="12.75">
      <c r="A43" s="8">
        <v>32</v>
      </c>
      <c r="B43" s="328" t="s">
        <v>901</v>
      </c>
      <c r="C43" s="9">
        <v>1618</v>
      </c>
      <c r="D43" s="9">
        <v>36</v>
      </c>
      <c r="E43" s="9">
        <v>0</v>
      </c>
      <c r="F43" s="70">
        <v>0</v>
      </c>
      <c r="G43" s="10">
        <f>'AT-3'!C40</f>
        <v>1654</v>
      </c>
      <c r="H43" s="9">
        <v>1618</v>
      </c>
      <c r="I43" s="9">
        <v>36</v>
      </c>
      <c r="J43" s="9">
        <v>0</v>
      </c>
      <c r="K43" s="9">
        <v>0</v>
      </c>
      <c r="L43" s="9">
        <f t="shared" si="0"/>
        <v>1654</v>
      </c>
      <c r="M43" s="9">
        <f t="shared" si="1"/>
        <v>0</v>
      </c>
      <c r="N43" s="9"/>
    </row>
    <row r="44" spans="1:14" ht="12.75">
      <c r="A44" s="8">
        <v>33</v>
      </c>
      <c r="B44" s="328" t="s">
        <v>902</v>
      </c>
      <c r="C44" s="9">
        <v>671</v>
      </c>
      <c r="D44" s="9">
        <v>33</v>
      </c>
      <c r="E44" s="9">
        <v>0</v>
      </c>
      <c r="F44" s="70">
        <v>0</v>
      </c>
      <c r="G44" s="10">
        <f>'AT-3'!C41</f>
        <v>704</v>
      </c>
      <c r="H44" s="9">
        <v>671</v>
      </c>
      <c r="I44" s="9">
        <v>33</v>
      </c>
      <c r="J44" s="9">
        <v>0</v>
      </c>
      <c r="K44" s="9">
        <v>0</v>
      </c>
      <c r="L44" s="9">
        <f>H44+I44+J44+K44</f>
        <v>704</v>
      </c>
      <c r="M44" s="9">
        <f t="shared" si="1"/>
        <v>0</v>
      </c>
      <c r="N44" s="9"/>
    </row>
    <row r="45" spans="1:14" ht="12.75">
      <c r="A45" s="8">
        <v>34</v>
      </c>
      <c r="B45" s="328" t="s">
        <v>903</v>
      </c>
      <c r="C45" s="9">
        <v>495</v>
      </c>
      <c r="D45" s="9">
        <v>24</v>
      </c>
      <c r="E45" s="9">
        <v>0</v>
      </c>
      <c r="F45" s="70">
        <v>0</v>
      </c>
      <c r="G45" s="10">
        <f>'AT-3'!C42</f>
        <v>519</v>
      </c>
      <c r="H45" s="9">
        <v>495</v>
      </c>
      <c r="I45" s="9">
        <v>24</v>
      </c>
      <c r="J45" s="9">
        <v>0</v>
      </c>
      <c r="K45" s="9">
        <v>0</v>
      </c>
      <c r="L45" s="9">
        <f t="shared" si="0"/>
        <v>519</v>
      </c>
      <c r="M45" s="9">
        <f t="shared" si="1"/>
        <v>0</v>
      </c>
      <c r="N45" s="9"/>
    </row>
    <row r="46" spans="1:14" ht="12.75">
      <c r="A46" s="8">
        <v>35</v>
      </c>
      <c r="B46" s="328" t="s">
        <v>904</v>
      </c>
      <c r="C46" s="9">
        <v>1327</v>
      </c>
      <c r="D46" s="9">
        <v>52</v>
      </c>
      <c r="E46" s="9">
        <v>0</v>
      </c>
      <c r="F46" s="70">
        <v>1</v>
      </c>
      <c r="G46" s="10">
        <f>'AT-3'!C43</f>
        <v>1380</v>
      </c>
      <c r="H46" s="9">
        <v>1327</v>
      </c>
      <c r="I46" s="9">
        <v>52</v>
      </c>
      <c r="J46" s="9">
        <v>0</v>
      </c>
      <c r="K46" s="9">
        <v>1</v>
      </c>
      <c r="L46" s="9">
        <f t="shared" si="0"/>
        <v>1380</v>
      </c>
      <c r="M46" s="9">
        <f t="shared" si="1"/>
        <v>0</v>
      </c>
      <c r="N46" s="9"/>
    </row>
    <row r="47" spans="1:14" ht="12.75">
      <c r="A47" s="3" t="s">
        <v>19</v>
      </c>
      <c r="B47" s="9"/>
      <c r="C47" s="9">
        <f>SUM(C12:C46)</f>
        <v>43381</v>
      </c>
      <c r="D47" s="9">
        <f aca="true" t="shared" si="2" ref="D47:M47">SUM(D12:D46)</f>
        <v>3346</v>
      </c>
      <c r="E47" s="9">
        <f t="shared" si="2"/>
        <v>139</v>
      </c>
      <c r="F47" s="9">
        <f t="shared" si="2"/>
        <v>2</v>
      </c>
      <c r="G47" s="9">
        <f t="shared" si="2"/>
        <v>46868</v>
      </c>
      <c r="H47" s="9">
        <f t="shared" si="2"/>
        <v>43381</v>
      </c>
      <c r="I47" s="9">
        <f t="shared" si="2"/>
        <v>3317</v>
      </c>
      <c r="J47" s="9">
        <f t="shared" si="2"/>
        <v>139</v>
      </c>
      <c r="K47" s="9">
        <f t="shared" si="2"/>
        <v>2</v>
      </c>
      <c r="L47" s="9">
        <f t="shared" si="2"/>
        <v>46839</v>
      </c>
      <c r="M47" s="9">
        <f t="shared" si="2"/>
        <v>29</v>
      </c>
      <c r="N47" s="9"/>
    </row>
    <row r="48" spans="1:13" ht="12.7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ht="12.75">
      <c r="A49" s="11" t="s">
        <v>8</v>
      </c>
    </row>
    <row r="50" ht="12.75">
      <c r="A50" t="s">
        <v>9</v>
      </c>
    </row>
    <row r="51" spans="1:12" ht="12.75">
      <c r="A51" t="s">
        <v>10</v>
      </c>
      <c r="J51" s="12" t="s">
        <v>11</v>
      </c>
      <c r="K51" s="12"/>
      <c r="L51" s="12" t="s">
        <v>11</v>
      </c>
    </row>
    <row r="52" spans="1:12" ht="12.75">
      <c r="A52" s="16" t="s">
        <v>443</v>
      </c>
      <c r="J52" s="12"/>
      <c r="K52" s="12"/>
      <c r="L52" s="12"/>
    </row>
    <row r="53" spans="3:13" ht="12.75">
      <c r="C53" s="16" t="s">
        <v>444</v>
      </c>
      <c r="E53" s="13"/>
      <c r="F53" s="13"/>
      <c r="G53" s="13"/>
      <c r="H53" s="13"/>
      <c r="I53" s="13"/>
      <c r="J53" s="13"/>
      <c r="K53" s="13"/>
      <c r="L53" s="13"/>
      <c r="M53" s="13"/>
    </row>
    <row r="54" spans="3:13" ht="12.75">
      <c r="C54" s="16"/>
      <c r="E54" s="13"/>
      <c r="F54" s="13"/>
      <c r="G54" s="13"/>
      <c r="H54" s="13"/>
      <c r="I54" s="13"/>
      <c r="J54" s="13"/>
      <c r="K54" s="13"/>
      <c r="L54" s="13"/>
      <c r="M54" s="13"/>
    </row>
    <row r="55" spans="1:14" ht="15" customHeight="1">
      <c r="A55" s="14" t="s">
        <v>12</v>
      </c>
      <c r="B55" s="14"/>
      <c r="C55" s="748" t="s">
        <v>1021</v>
      </c>
      <c r="D55" s="748"/>
      <c r="E55" s="83"/>
      <c r="F55" s="83"/>
      <c r="G55" s="748"/>
      <c r="H55" s="748"/>
      <c r="J55" s="15"/>
      <c r="K55" s="748" t="s">
        <v>1024</v>
      </c>
      <c r="L55" s="748"/>
      <c r="M55" s="398"/>
      <c r="N55" s="398"/>
    </row>
    <row r="56" spans="1:14" ht="15" customHeight="1">
      <c r="A56" s="398"/>
      <c r="B56" s="748" t="s">
        <v>1022</v>
      </c>
      <c r="C56" s="748"/>
      <c r="D56" s="748"/>
      <c r="E56" s="748"/>
      <c r="F56" s="83"/>
      <c r="G56" s="748"/>
      <c r="H56" s="748"/>
      <c r="I56" s="398"/>
      <c r="J56" s="748" t="s">
        <v>1025</v>
      </c>
      <c r="K56" s="748"/>
      <c r="L56" s="748"/>
      <c r="M56" s="748"/>
      <c r="N56" s="398"/>
    </row>
    <row r="57" spans="1:14" ht="15.75" customHeight="1">
      <c r="A57" s="398" t="s">
        <v>15</v>
      </c>
      <c r="B57" s="398"/>
      <c r="C57" s="735" t="s">
        <v>1023</v>
      </c>
      <c r="D57" s="735"/>
      <c r="E57" s="36"/>
      <c r="F57" s="36"/>
      <c r="G57" s="735"/>
      <c r="H57" s="735"/>
      <c r="I57" s="398"/>
      <c r="J57" s="398"/>
      <c r="K57" s="735" t="s">
        <v>1023</v>
      </c>
      <c r="L57" s="735"/>
      <c r="M57" s="398"/>
      <c r="N57" s="398"/>
    </row>
    <row r="58" spans="11:14" ht="12.75">
      <c r="K58" s="36"/>
      <c r="L58" s="36"/>
      <c r="M58" s="36"/>
      <c r="N58" s="36"/>
    </row>
    <row r="59" spans="1:13" ht="12.75">
      <c r="A59" s="805"/>
      <c r="B59" s="805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</row>
  </sheetData>
  <sheetProtection/>
  <mergeCells count="23">
    <mergeCell ref="D1:I1"/>
    <mergeCell ref="A5:M5"/>
    <mergeCell ref="A3:M3"/>
    <mergeCell ref="A2:M2"/>
    <mergeCell ref="L1:M1"/>
    <mergeCell ref="B9:B10"/>
    <mergeCell ref="A9:A10"/>
    <mergeCell ref="K55:L55"/>
    <mergeCell ref="K57:L57"/>
    <mergeCell ref="J56:M56"/>
    <mergeCell ref="A7:C7"/>
    <mergeCell ref="L7:N7"/>
    <mergeCell ref="M9:M10"/>
    <mergeCell ref="A59:M59"/>
    <mergeCell ref="H9:L9"/>
    <mergeCell ref="C9:G9"/>
    <mergeCell ref="N9:N10"/>
    <mergeCell ref="C55:D55"/>
    <mergeCell ref="G55:H55"/>
    <mergeCell ref="G56:H56"/>
    <mergeCell ref="C57:D57"/>
    <mergeCell ref="G57:H57"/>
    <mergeCell ref="B56:E56"/>
  </mergeCells>
  <printOptions horizontalCentered="1"/>
  <pageMargins left="0.7086614173228347" right="0.7086614173228347" top="0.2362204724409449" bottom="0" header="0.31496062992125984" footer="0.31496062992125984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SheetLayoutView="90" zoomScalePageLayoutView="0" workbookViewId="0" topLeftCell="A37">
      <selection activeCell="O37" sqref="O1:S16384"/>
    </sheetView>
  </sheetViews>
  <sheetFormatPr defaultColWidth="9.140625" defaultRowHeight="12.75"/>
  <cols>
    <col min="1" max="1" width="7.57421875" style="0" customWidth="1"/>
    <col min="2" max="2" width="15.421875" style="0" bestFit="1" customWidth="1"/>
    <col min="3" max="3" width="9.7109375" style="0" customWidth="1"/>
    <col min="5" max="5" width="9.57421875" style="0" customWidth="1"/>
    <col min="6" max="6" width="7.57421875" style="0" customWidth="1"/>
    <col min="7" max="7" width="8.421875" style="0" customWidth="1"/>
    <col min="8" max="8" width="10.57421875" style="0" customWidth="1"/>
    <col min="9" max="9" width="9.8515625" style="0" customWidth="1"/>
    <col min="12" max="12" width="7.57421875" style="0" customWidth="1"/>
    <col min="13" max="13" width="12.28125" style="0" customWidth="1"/>
    <col min="14" max="14" width="15.8515625" style="0" customWidth="1"/>
  </cols>
  <sheetData>
    <row r="1" spans="4:13" ht="12.75" customHeight="1">
      <c r="D1" s="735"/>
      <c r="E1" s="735"/>
      <c r="F1" s="735"/>
      <c r="G1" s="735"/>
      <c r="H1" s="735"/>
      <c r="I1" s="735"/>
      <c r="J1" s="735"/>
      <c r="K1" s="1"/>
      <c r="M1" s="101" t="s">
        <v>89</v>
      </c>
    </row>
    <row r="2" spans="1:14" ht="15">
      <c r="A2" s="811" t="s">
        <v>0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</row>
    <row r="3" spans="1:14" ht="20.25">
      <c r="A3" s="733" t="s">
        <v>656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</row>
    <row r="4" ht="11.25" customHeight="1"/>
    <row r="5" spans="1:14" ht="15.75">
      <c r="A5" s="734" t="s">
        <v>662</v>
      </c>
      <c r="B5" s="734"/>
      <c r="C5" s="734"/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</row>
    <row r="7" spans="1:14" ht="12.75">
      <c r="A7" s="736" t="s">
        <v>1004</v>
      </c>
      <c r="B7" s="736"/>
      <c r="C7" s="736"/>
      <c r="L7" s="807" t="s">
        <v>820</v>
      </c>
      <c r="M7" s="807"/>
      <c r="N7" s="807"/>
    </row>
    <row r="8" spans="1:14" ht="15.75" customHeight="1">
      <c r="A8" s="808" t="s">
        <v>2</v>
      </c>
      <c r="B8" s="808" t="s">
        <v>3</v>
      </c>
      <c r="C8" s="711" t="s">
        <v>4</v>
      </c>
      <c r="D8" s="711"/>
      <c r="E8" s="711"/>
      <c r="F8" s="711"/>
      <c r="G8" s="711"/>
      <c r="H8" s="711" t="s">
        <v>102</v>
      </c>
      <c r="I8" s="711"/>
      <c r="J8" s="711"/>
      <c r="K8" s="711"/>
      <c r="L8" s="711"/>
      <c r="M8" s="808" t="s">
        <v>135</v>
      </c>
      <c r="N8" s="709" t="s">
        <v>136</v>
      </c>
    </row>
    <row r="9" spans="1:14" ht="51">
      <c r="A9" s="809"/>
      <c r="B9" s="809"/>
      <c r="C9" s="5" t="s">
        <v>5</v>
      </c>
      <c r="D9" s="5" t="s">
        <v>6</v>
      </c>
      <c r="E9" s="5" t="s">
        <v>369</v>
      </c>
      <c r="F9" s="5" t="s">
        <v>100</v>
      </c>
      <c r="G9" s="5" t="s">
        <v>210</v>
      </c>
      <c r="H9" s="5" t="s">
        <v>5</v>
      </c>
      <c r="I9" s="5" t="s">
        <v>6</v>
      </c>
      <c r="J9" s="5" t="s">
        <v>369</v>
      </c>
      <c r="K9" s="5" t="s">
        <v>100</v>
      </c>
      <c r="L9" s="5" t="s">
        <v>209</v>
      </c>
      <c r="M9" s="809"/>
      <c r="N9" s="709"/>
    </row>
    <row r="10" spans="1:14" s="15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</row>
    <row r="11" spans="1:14" ht="12.75">
      <c r="A11" s="8">
        <v>1</v>
      </c>
      <c r="B11" s="328" t="s">
        <v>870</v>
      </c>
      <c r="C11" s="9">
        <v>599</v>
      </c>
      <c r="D11" s="9">
        <v>612</v>
      </c>
      <c r="E11" s="9">
        <v>0</v>
      </c>
      <c r="F11" s="9">
        <v>0</v>
      </c>
      <c r="G11" s="9">
        <f>'AT-3'!E9</f>
        <v>1211</v>
      </c>
      <c r="H11" s="9">
        <v>599</v>
      </c>
      <c r="I11" s="9">
        <v>612</v>
      </c>
      <c r="J11" s="9">
        <v>0</v>
      </c>
      <c r="K11" s="9">
        <v>0</v>
      </c>
      <c r="L11" s="9">
        <f>H11+I11+J11+K11</f>
        <v>1211</v>
      </c>
      <c r="M11" s="9">
        <f>G11-L11</f>
        <v>0</v>
      </c>
      <c r="N11" s="9"/>
    </row>
    <row r="12" spans="1:14" ht="12.75">
      <c r="A12" s="8">
        <v>2</v>
      </c>
      <c r="B12" s="328" t="s">
        <v>871</v>
      </c>
      <c r="C12" s="9">
        <v>413</v>
      </c>
      <c r="D12" s="9">
        <v>269</v>
      </c>
      <c r="E12" s="9">
        <v>0</v>
      </c>
      <c r="F12" s="9">
        <v>0</v>
      </c>
      <c r="G12" s="9">
        <f>'AT-3'!E10</f>
        <v>682</v>
      </c>
      <c r="H12" s="9">
        <v>413</v>
      </c>
      <c r="I12" s="9">
        <v>269</v>
      </c>
      <c r="J12" s="9">
        <v>0</v>
      </c>
      <c r="K12" s="9">
        <v>0</v>
      </c>
      <c r="L12" s="9">
        <f aca="true" t="shared" si="0" ref="L12:L45">H12+I12+J12+K12</f>
        <v>682</v>
      </c>
      <c r="M12" s="9">
        <f aca="true" t="shared" si="1" ref="M12:M45">G12-L12</f>
        <v>0</v>
      </c>
      <c r="N12" s="9"/>
    </row>
    <row r="13" spans="1:14" ht="12.75">
      <c r="A13" s="8">
        <v>3</v>
      </c>
      <c r="B13" s="328" t="s">
        <v>872</v>
      </c>
      <c r="C13" s="9">
        <v>788</v>
      </c>
      <c r="D13" s="9">
        <v>394</v>
      </c>
      <c r="E13" s="9">
        <v>0</v>
      </c>
      <c r="F13" s="9">
        <v>0</v>
      </c>
      <c r="G13" s="9">
        <f>'AT-3'!E11</f>
        <v>1182</v>
      </c>
      <c r="H13" s="9">
        <v>788</v>
      </c>
      <c r="I13" s="9">
        <v>394</v>
      </c>
      <c r="J13" s="9">
        <v>0</v>
      </c>
      <c r="K13" s="9">
        <v>0</v>
      </c>
      <c r="L13" s="9">
        <f t="shared" si="0"/>
        <v>1182</v>
      </c>
      <c r="M13" s="9">
        <f t="shared" si="1"/>
        <v>0</v>
      </c>
      <c r="N13" s="9"/>
    </row>
    <row r="14" spans="1:14" ht="12.75">
      <c r="A14" s="8">
        <v>4</v>
      </c>
      <c r="B14" s="328" t="s">
        <v>873</v>
      </c>
      <c r="C14" s="9">
        <v>797</v>
      </c>
      <c r="D14" s="9">
        <v>487</v>
      </c>
      <c r="E14" s="9">
        <v>0</v>
      </c>
      <c r="F14" s="9">
        <v>0</v>
      </c>
      <c r="G14" s="9">
        <f>'AT-3'!E12</f>
        <v>1284</v>
      </c>
      <c r="H14" s="9">
        <v>797</v>
      </c>
      <c r="I14" s="9">
        <v>487</v>
      </c>
      <c r="J14" s="9">
        <v>0</v>
      </c>
      <c r="K14" s="9">
        <v>0</v>
      </c>
      <c r="L14" s="9">
        <f t="shared" si="0"/>
        <v>1284</v>
      </c>
      <c r="M14" s="9">
        <f t="shared" si="1"/>
        <v>0</v>
      </c>
      <c r="N14" s="9"/>
    </row>
    <row r="15" spans="1:14" ht="12.75">
      <c r="A15" s="8">
        <v>5</v>
      </c>
      <c r="B15" s="328" t="s">
        <v>874</v>
      </c>
      <c r="C15" s="9">
        <v>669</v>
      </c>
      <c r="D15" s="9">
        <v>453</v>
      </c>
      <c r="E15" s="9">
        <v>0</v>
      </c>
      <c r="F15" s="9">
        <v>0</v>
      </c>
      <c r="G15" s="9">
        <f>'AT-3'!E13</f>
        <v>1122</v>
      </c>
      <c r="H15" s="9">
        <v>669</v>
      </c>
      <c r="I15" s="9">
        <v>453</v>
      </c>
      <c r="J15" s="9">
        <v>0</v>
      </c>
      <c r="K15" s="9">
        <v>0</v>
      </c>
      <c r="L15" s="9">
        <f t="shared" si="0"/>
        <v>1122</v>
      </c>
      <c r="M15" s="9">
        <f t="shared" si="1"/>
        <v>0</v>
      </c>
      <c r="N15" s="9"/>
    </row>
    <row r="16" spans="1:14" ht="12.75">
      <c r="A16" s="8">
        <v>6</v>
      </c>
      <c r="B16" s="328" t="s">
        <v>875</v>
      </c>
      <c r="C16" s="9">
        <v>298</v>
      </c>
      <c r="D16" s="9">
        <v>180</v>
      </c>
      <c r="E16" s="9">
        <v>0</v>
      </c>
      <c r="F16" s="9">
        <v>0</v>
      </c>
      <c r="G16" s="9">
        <f>'AT-3'!E14</f>
        <v>478</v>
      </c>
      <c r="H16" s="9">
        <v>298</v>
      </c>
      <c r="I16" s="9">
        <v>180</v>
      </c>
      <c r="J16" s="9">
        <v>0</v>
      </c>
      <c r="K16" s="9">
        <v>0</v>
      </c>
      <c r="L16" s="9">
        <f t="shared" si="0"/>
        <v>478</v>
      </c>
      <c r="M16" s="9">
        <f t="shared" si="1"/>
        <v>0</v>
      </c>
      <c r="N16" s="9"/>
    </row>
    <row r="17" spans="1:14" ht="12.75">
      <c r="A17" s="8">
        <v>7</v>
      </c>
      <c r="B17" s="328" t="s">
        <v>876</v>
      </c>
      <c r="C17" s="9">
        <v>634</v>
      </c>
      <c r="D17" s="9">
        <v>286</v>
      </c>
      <c r="E17" s="9">
        <v>0</v>
      </c>
      <c r="F17" s="9">
        <v>0</v>
      </c>
      <c r="G17" s="9">
        <f>'AT-3'!E15</f>
        <v>920</v>
      </c>
      <c r="H17" s="9">
        <v>634</v>
      </c>
      <c r="I17" s="9">
        <v>286</v>
      </c>
      <c r="J17" s="9">
        <v>0</v>
      </c>
      <c r="K17" s="9">
        <v>0</v>
      </c>
      <c r="L17" s="9">
        <f t="shared" si="0"/>
        <v>920</v>
      </c>
      <c r="M17" s="9">
        <f t="shared" si="1"/>
        <v>0</v>
      </c>
      <c r="N17" s="9"/>
    </row>
    <row r="18" spans="1:14" ht="12.75">
      <c r="A18" s="8">
        <v>8</v>
      </c>
      <c r="B18" s="328" t="s">
        <v>877</v>
      </c>
      <c r="C18" s="9">
        <v>614</v>
      </c>
      <c r="D18" s="9">
        <v>217</v>
      </c>
      <c r="E18" s="9">
        <v>0</v>
      </c>
      <c r="F18" s="9">
        <v>0</v>
      </c>
      <c r="G18" s="9">
        <f>'AT-3'!E16</f>
        <v>831</v>
      </c>
      <c r="H18" s="9">
        <v>614</v>
      </c>
      <c r="I18" s="9">
        <v>217</v>
      </c>
      <c r="J18" s="9">
        <v>0</v>
      </c>
      <c r="K18" s="9">
        <v>0</v>
      </c>
      <c r="L18" s="9">
        <f t="shared" si="0"/>
        <v>831</v>
      </c>
      <c r="M18" s="9">
        <f t="shared" si="1"/>
        <v>0</v>
      </c>
      <c r="N18" s="9"/>
    </row>
    <row r="19" spans="1:14" ht="12.75">
      <c r="A19" s="8">
        <v>9</v>
      </c>
      <c r="B19" s="328" t="s">
        <v>878</v>
      </c>
      <c r="C19" s="9">
        <v>67</v>
      </c>
      <c r="D19" s="9">
        <v>412</v>
      </c>
      <c r="E19" s="9">
        <v>0</v>
      </c>
      <c r="F19" s="9">
        <v>0</v>
      </c>
      <c r="G19" s="9">
        <f>'AT-3'!E17</f>
        <v>479</v>
      </c>
      <c r="H19" s="9">
        <v>67</v>
      </c>
      <c r="I19" s="9">
        <v>412</v>
      </c>
      <c r="J19" s="9"/>
      <c r="K19" s="9"/>
      <c r="L19" s="9">
        <f t="shared" si="0"/>
        <v>479</v>
      </c>
      <c r="M19" s="9">
        <f t="shared" si="1"/>
        <v>0</v>
      </c>
      <c r="N19" s="9"/>
    </row>
    <row r="20" spans="1:14" ht="12.75">
      <c r="A20" s="8">
        <v>10</v>
      </c>
      <c r="B20" s="328" t="s">
        <v>879</v>
      </c>
      <c r="C20" s="9">
        <v>463</v>
      </c>
      <c r="D20" s="9">
        <v>117</v>
      </c>
      <c r="E20" s="9">
        <v>0</v>
      </c>
      <c r="F20" s="9">
        <v>1</v>
      </c>
      <c r="G20" s="9">
        <f>'AT-3'!E18</f>
        <v>581</v>
      </c>
      <c r="H20" s="9">
        <v>463</v>
      </c>
      <c r="I20" s="9">
        <v>117</v>
      </c>
      <c r="J20" s="9">
        <v>0</v>
      </c>
      <c r="K20" s="9">
        <v>1</v>
      </c>
      <c r="L20" s="9">
        <f t="shared" si="0"/>
        <v>581</v>
      </c>
      <c r="M20" s="9">
        <f t="shared" si="1"/>
        <v>0</v>
      </c>
      <c r="N20" s="9"/>
    </row>
    <row r="21" spans="1:14" ht="12.75">
      <c r="A21" s="8">
        <v>11</v>
      </c>
      <c r="B21" s="328" t="s">
        <v>880</v>
      </c>
      <c r="C21" s="9">
        <v>457</v>
      </c>
      <c r="D21" s="9">
        <v>150</v>
      </c>
      <c r="E21" s="9">
        <v>0</v>
      </c>
      <c r="F21" s="9">
        <v>0</v>
      </c>
      <c r="G21" s="9">
        <f>'AT-3'!E19</f>
        <v>607</v>
      </c>
      <c r="H21" s="9">
        <v>457</v>
      </c>
      <c r="I21" s="9">
        <v>150</v>
      </c>
      <c r="J21" s="9">
        <v>0</v>
      </c>
      <c r="K21" s="9">
        <v>0</v>
      </c>
      <c r="L21" s="9">
        <f>H21+I21+J21+K21</f>
        <v>607</v>
      </c>
      <c r="M21" s="9">
        <f t="shared" si="1"/>
        <v>0</v>
      </c>
      <c r="N21" s="9"/>
    </row>
    <row r="22" spans="1:14" ht="12.75">
      <c r="A22" s="8">
        <v>12</v>
      </c>
      <c r="B22" s="328" t="s">
        <v>881</v>
      </c>
      <c r="C22" s="9">
        <v>368</v>
      </c>
      <c r="D22" s="9">
        <v>105</v>
      </c>
      <c r="E22" s="9">
        <v>0</v>
      </c>
      <c r="F22" s="9">
        <v>0</v>
      </c>
      <c r="G22" s="9">
        <f>'AT-3'!E20</f>
        <v>473</v>
      </c>
      <c r="H22" s="9">
        <v>368</v>
      </c>
      <c r="I22" s="9">
        <v>105</v>
      </c>
      <c r="J22" s="9">
        <v>0</v>
      </c>
      <c r="K22" s="9">
        <v>0</v>
      </c>
      <c r="L22" s="9">
        <f t="shared" si="0"/>
        <v>473</v>
      </c>
      <c r="M22" s="9">
        <f t="shared" si="1"/>
        <v>0</v>
      </c>
      <c r="N22" s="9"/>
    </row>
    <row r="23" spans="1:14" ht="12.75">
      <c r="A23" s="8">
        <v>13</v>
      </c>
      <c r="B23" s="328" t="s">
        <v>882</v>
      </c>
      <c r="C23" s="9">
        <v>531</v>
      </c>
      <c r="D23" s="9">
        <v>593</v>
      </c>
      <c r="E23" s="9">
        <v>0</v>
      </c>
      <c r="F23" s="9">
        <v>0</v>
      </c>
      <c r="G23" s="9">
        <f>'AT-3'!E21</f>
        <v>1124</v>
      </c>
      <c r="H23" s="9">
        <v>531</v>
      </c>
      <c r="I23" s="9">
        <v>593</v>
      </c>
      <c r="J23" s="9">
        <v>0</v>
      </c>
      <c r="K23" s="9">
        <v>0</v>
      </c>
      <c r="L23" s="9">
        <f t="shared" si="0"/>
        <v>1124</v>
      </c>
      <c r="M23" s="9">
        <f t="shared" si="1"/>
        <v>0</v>
      </c>
      <c r="N23" s="9"/>
    </row>
    <row r="24" spans="1:14" ht="12.75">
      <c r="A24" s="8">
        <v>14</v>
      </c>
      <c r="B24" s="328" t="s">
        <v>883</v>
      </c>
      <c r="C24" s="9">
        <v>569</v>
      </c>
      <c r="D24" s="9">
        <v>243</v>
      </c>
      <c r="E24" s="9">
        <v>0</v>
      </c>
      <c r="F24" s="9">
        <v>0</v>
      </c>
      <c r="G24" s="9">
        <f>'AT-3'!E22</f>
        <v>812</v>
      </c>
      <c r="H24" s="9">
        <v>569</v>
      </c>
      <c r="I24" s="9">
        <v>243</v>
      </c>
      <c r="J24" s="9">
        <v>0</v>
      </c>
      <c r="K24" s="9">
        <v>0</v>
      </c>
      <c r="L24" s="9">
        <f t="shared" si="0"/>
        <v>812</v>
      </c>
      <c r="M24" s="9">
        <f t="shared" si="1"/>
        <v>0</v>
      </c>
      <c r="N24" s="9"/>
    </row>
    <row r="25" spans="1:14" ht="12.75">
      <c r="A25" s="8">
        <v>15</v>
      </c>
      <c r="B25" s="328" t="s">
        <v>884</v>
      </c>
      <c r="C25" s="9">
        <v>1182</v>
      </c>
      <c r="D25" s="9">
        <v>328</v>
      </c>
      <c r="E25" s="9">
        <v>0</v>
      </c>
      <c r="F25" s="9">
        <v>0</v>
      </c>
      <c r="G25" s="9">
        <f>'AT-3'!E23</f>
        <v>1510</v>
      </c>
      <c r="H25" s="9">
        <v>1182</v>
      </c>
      <c r="I25" s="9">
        <v>328</v>
      </c>
      <c r="J25" s="9">
        <v>0</v>
      </c>
      <c r="K25" s="9">
        <v>0</v>
      </c>
      <c r="L25" s="9">
        <f t="shared" si="0"/>
        <v>1510</v>
      </c>
      <c r="M25" s="9">
        <f t="shared" si="1"/>
        <v>0</v>
      </c>
      <c r="N25" s="9"/>
    </row>
    <row r="26" spans="1:14" ht="12.75">
      <c r="A26" s="8">
        <v>16</v>
      </c>
      <c r="B26" s="328" t="s">
        <v>885</v>
      </c>
      <c r="C26" s="9">
        <v>596</v>
      </c>
      <c r="D26" s="9">
        <v>489</v>
      </c>
      <c r="E26" s="9">
        <v>0</v>
      </c>
      <c r="F26" s="9">
        <v>0</v>
      </c>
      <c r="G26" s="9">
        <f>'AT-3'!E24</f>
        <v>1085</v>
      </c>
      <c r="H26" s="9">
        <v>596</v>
      </c>
      <c r="I26" s="9">
        <v>489</v>
      </c>
      <c r="J26" s="9">
        <v>0</v>
      </c>
      <c r="K26" s="9">
        <v>0</v>
      </c>
      <c r="L26" s="9">
        <f t="shared" si="0"/>
        <v>1085</v>
      </c>
      <c r="M26" s="9">
        <f t="shared" si="1"/>
        <v>0</v>
      </c>
      <c r="N26" s="9"/>
    </row>
    <row r="27" spans="1:14" ht="12.75">
      <c r="A27" s="8">
        <v>17</v>
      </c>
      <c r="B27" s="328" t="s">
        <v>886</v>
      </c>
      <c r="C27" s="9">
        <v>911</v>
      </c>
      <c r="D27" s="9">
        <v>651</v>
      </c>
      <c r="E27" s="9">
        <v>0</v>
      </c>
      <c r="F27" s="9">
        <v>0</v>
      </c>
      <c r="G27" s="9">
        <f>'AT-3'!E25</f>
        <v>1562</v>
      </c>
      <c r="H27" s="9">
        <v>911</v>
      </c>
      <c r="I27" s="9">
        <v>573</v>
      </c>
      <c r="J27" s="9">
        <v>0</v>
      </c>
      <c r="K27" s="9">
        <v>0</v>
      </c>
      <c r="L27" s="9">
        <f t="shared" si="0"/>
        <v>1484</v>
      </c>
      <c r="M27" s="9">
        <f t="shared" si="1"/>
        <v>78</v>
      </c>
      <c r="N27" s="9" t="s">
        <v>1017</v>
      </c>
    </row>
    <row r="28" spans="1:14" ht="12.75">
      <c r="A28" s="8">
        <v>18</v>
      </c>
      <c r="B28" s="328" t="s">
        <v>887</v>
      </c>
      <c r="C28" s="9">
        <v>635</v>
      </c>
      <c r="D28" s="9">
        <v>670</v>
      </c>
      <c r="E28" s="9">
        <v>0</v>
      </c>
      <c r="F28" s="9">
        <v>7</v>
      </c>
      <c r="G28" s="9">
        <f>'AT-3'!E26</f>
        <v>1312</v>
      </c>
      <c r="H28" s="9">
        <v>635</v>
      </c>
      <c r="I28" s="9">
        <v>670</v>
      </c>
      <c r="J28" s="9">
        <v>0</v>
      </c>
      <c r="K28" s="9">
        <v>7</v>
      </c>
      <c r="L28" s="9">
        <f t="shared" si="0"/>
        <v>1312</v>
      </c>
      <c r="M28" s="9">
        <f t="shared" si="1"/>
        <v>0</v>
      </c>
      <c r="N28" s="9"/>
    </row>
    <row r="29" spans="1:14" ht="12.75">
      <c r="A29" s="8">
        <v>19</v>
      </c>
      <c r="B29" s="328" t="s">
        <v>888</v>
      </c>
      <c r="C29" s="9">
        <v>789</v>
      </c>
      <c r="D29" s="9">
        <v>503</v>
      </c>
      <c r="E29" s="9">
        <v>0</v>
      </c>
      <c r="F29" s="9"/>
      <c r="G29" s="9">
        <f>'AT-3'!E27</f>
        <v>1292</v>
      </c>
      <c r="H29" s="9">
        <v>789</v>
      </c>
      <c r="I29" s="9">
        <v>503</v>
      </c>
      <c r="J29" s="9">
        <v>0</v>
      </c>
      <c r="K29" s="9">
        <v>0</v>
      </c>
      <c r="L29" s="9">
        <f t="shared" si="0"/>
        <v>1292</v>
      </c>
      <c r="M29" s="9">
        <f t="shared" si="1"/>
        <v>0</v>
      </c>
      <c r="N29" s="9"/>
    </row>
    <row r="30" spans="1:14" ht="12.75">
      <c r="A30" s="8">
        <v>20</v>
      </c>
      <c r="B30" s="328" t="s">
        <v>889</v>
      </c>
      <c r="C30" s="9">
        <v>195</v>
      </c>
      <c r="D30" s="9">
        <v>220</v>
      </c>
      <c r="E30" s="9">
        <v>0</v>
      </c>
      <c r="F30" s="9">
        <v>0</v>
      </c>
      <c r="G30" s="9">
        <f>'AT-3'!E28</f>
        <v>415</v>
      </c>
      <c r="H30" s="9">
        <v>195</v>
      </c>
      <c r="I30" s="9">
        <v>220</v>
      </c>
      <c r="J30" s="9">
        <v>0</v>
      </c>
      <c r="K30" s="9">
        <v>0</v>
      </c>
      <c r="L30" s="9">
        <f t="shared" si="0"/>
        <v>415</v>
      </c>
      <c r="M30" s="9">
        <f t="shared" si="1"/>
        <v>0</v>
      </c>
      <c r="N30" s="9"/>
    </row>
    <row r="31" spans="1:14" ht="12.75">
      <c r="A31" s="8">
        <v>21</v>
      </c>
      <c r="B31" s="328" t="s">
        <v>890</v>
      </c>
      <c r="C31" s="9">
        <v>921</v>
      </c>
      <c r="D31" s="9">
        <v>549</v>
      </c>
      <c r="E31" s="9">
        <v>0</v>
      </c>
      <c r="F31" s="9">
        <v>0</v>
      </c>
      <c r="G31" s="9">
        <f>'AT-3'!E29</f>
        <v>1470</v>
      </c>
      <c r="H31" s="9">
        <v>921</v>
      </c>
      <c r="I31" s="9">
        <v>549</v>
      </c>
      <c r="J31" s="9">
        <v>0</v>
      </c>
      <c r="K31" s="9">
        <v>0</v>
      </c>
      <c r="L31" s="9">
        <f t="shared" si="0"/>
        <v>1470</v>
      </c>
      <c r="M31" s="9">
        <f t="shared" si="1"/>
        <v>0</v>
      </c>
      <c r="N31" s="9"/>
    </row>
    <row r="32" spans="1:14" ht="12.75">
      <c r="A32" s="8">
        <v>22</v>
      </c>
      <c r="B32" s="328" t="s">
        <v>891</v>
      </c>
      <c r="C32" s="9">
        <v>565</v>
      </c>
      <c r="D32" s="9">
        <v>221</v>
      </c>
      <c r="E32" s="9">
        <v>0</v>
      </c>
      <c r="F32" s="9">
        <v>0</v>
      </c>
      <c r="G32" s="9">
        <f>'AT-3'!E30</f>
        <v>786</v>
      </c>
      <c r="H32" s="9">
        <v>565</v>
      </c>
      <c r="I32" s="9">
        <v>221</v>
      </c>
      <c r="J32" s="9">
        <v>0</v>
      </c>
      <c r="K32" s="9">
        <v>0</v>
      </c>
      <c r="L32" s="9">
        <f t="shared" si="0"/>
        <v>786</v>
      </c>
      <c r="M32" s="9">
        <f t="shared" si="1"/>
        <v>0</v>
      </c>
      <c r="N32" s="9"/>
    </row>
    <row r="33" spans="1:14" ht="12.75">
      <c r="A33" s="8">
        <v>23</v>
      </c>
      <c r="B33" s="328" t="s">
        <v>892</v>
      </c>
      <c r="C33" s="9">
        <v>588</v>
      </c>
      <c r="D33" s="9">
        <v>226</v>
      </c>
      <c r="E33" s="9">
        <v>14</v>
      </c>
      <c r="F33" s="9">
        <v>0</v>
      </c>
      <c r="G33" s="9">
        <f>'AT-3'!E31</f>
        <v>828</v>
      </c>
      <c r="H33" s="9">
        <v>588</v>
      </c>
      <c r="I33" s="9">
        <v>226</v>
      </c>
      <c r="J33" s="9">
        <v>14</v>
      </c>
      <c r="K33" s="9">
        <v>0</v>
      </c>
      <c r="L33" s="9">
        <f t="shared" si="0"/>
        <v>828</v>
      </c>
      <c r="M33" s="9">
        <f t="shared" si="1"/>
        <v>0</v>
      </c>
      <c r="N33" s="9"/>
    </row>
    <row r="34" spans="1:14" ht="12.75">
      <c r="A34" s="8">
        <v>24</v>
      </c>
      <c r="B34" s="328" t="s">
        <v>893</v>
      </c>
      <c r="C34" s="9">
        <v>1284</v>
      </c>
      <c r="D34" s="9">
        <v>746</v>
      </c>
      <c r="E34" s="9">
        <v>0</v>
      </c>
      <c r="F34" s="9">
        <v>0</v>
      </c>
      <c r="G34" s="9">
        <f>'AT-3'!E32</f>
        <v>2030</v>
      </c>
      <c r="H34" s="9">
        <v>1284</v>
      </c>
      <c r="I34" s="9">
        <v>746</v>
      </c>
      <c r="J34" s="9">
        <v>0</v>
      </c>
      <c r="K34" s="9">
        <v>0</v>
      </c>
      <c r="L34" s="9">
        <f t="shared" si="0"/>
        <v>2030</v>
      </c>
      <c r="M34" s="9">
        <f t="shared" si="1"/>
        <v>0</v>
      </c>
      <c r="N34" s="9"/>
    </row>
    <row r="35" spans="1:14" ht="12.75">
      <c r="A35" s="8">
        <v>25</v>
      </c>
      <c r="B35" s="328" t="s">
        <v>894</v>
      </c>
      <c r="C35" s="9">
        <v>781</v>
      </c>
      <c r="D35" s="9">
        <v>234</v>
      </c>
      <c r="E35" s="9">
        <v>0</v>
      </c>
      <c r="F35" s="9">
        <v>0</v>
      </c>
      <c r="G35" s="9">
        <f>'AT-3'!E33</f>
        <v>1015</v>
      </c>
      <c r="H35" s="9">
        <v>781</v>
      </c>
      <c r="I35" s="9">
        <v>234</v>
      </c>
      <c r="J35" s="9">
        <v>0</v>
      </c>
      <c r="K35" s="9">
        <v>0</v>
      </c>
      <c r="L35" s="9">
        <f t="shared" si="0"/>
        <v>1015</v>
      </c>
      <c r="M35" s="9">
        <f t="shared" si="1"/>
        <v>0</v>
      </c>
      <c r="N35" s="9"/>
    </row>
    <row r="36" spans="1:14" ht="12.75">
      <c r="A36" s="8">
        <v>26</v>
      </c>
      <c r="B36" s="328" t="s">
        <v>895</v>
      </c>
      <c r="C36" s="9">
        <v>1025</v>
      </c>
      <c r="D36" s="9">
        <v>165</v>
      </c>
      <c r="E36" s="9">
        <v>0</v>
      </c>
      <c r="F36" s="9">
        <v>0</v>
      </c>
      <c r="G36" s="9">
        <f>'AT-3'!E34</f>
        <v>1190</v>
      </c>
      <c r="H36" s="9">
        <v>1025</v>
      </c>
      <c r="I36" s="9">
        <v>165</v>
      </c>
      <c r="J36" s="9">
        <v>0</v>
      </c>
      <c r="K36" s="9">
        <v>0</v>
      </c>
      <c r="L36" s="9">
        <f t="shared" si="0"/>
        <v>1190</v>
      </c>
      <c r="M36" s="9">
        <f t="shared" si="1"/>
        <v>0</v>
      </c>
      <c r="N36" s="9"/>
    </row>
    <row r="37" spans="1:14" ht="12.75">
      <c r="A37" s="8">
        <v>27</v>
      </c>
      <c r="B37" s="328" t="s">
        <v>896</v>
      </c>
      <c r="C37" s="9">
        <v>583</v>
      </c>
      <c r="D37" s="9">
        <v>494</v>
      </c>
      <c r="E37" s="9">
        <v>6</v>
      </c>
      <c r="F37" s="9">
        <v>0</v>
      </c>
      <c r="G37" s="9">
        <f>'AT-3'!E35</f>
        <v>1083</v>
      </c>
      <c r="H37" s="9">
        <v>583</v>
      </c>
      <c r="I37" s="9">
        <v>494</v>
      </c>
      <c r="J37" s="9">
        <v>6</v>
      </c>
      <c r="K37" s="9">
        <v>0</v>
      </c>
      <c r="L37" s="9">
        <f t="shared" si="0"/>
        <v>1083</v>
      </c>
      <c r="M37" s="9">
        <f t="shared" si="1"/>
        <v>0</v>
      </c>
      <c r="N37" s="9"/>
    </row>
    <row r="38" spans="1:14" ht="12.75">
      <c r="A38" s="8">
        <v>28</v>
      </c>
      <c r="B38" s="328" t="s">
        <v>897</v>
      </c>
      <c r="C38" s="20">
        <v>860</v>
      </c>
      <c r="D38" s="9">
        <v>404</v>
      </c>
      <c r="E38" s="9">
        <v>0</v>
      </c>
      <c r="F38" s="9">
        <v>0</v>
      </c>
      <c r="G38" s="9">
        <f>'AT-3'!E36</f>
        <v>1264</v>
      </c>
      <c r="H38" s="9">
        <v>860</v>
      </c>
      <c r="I38" s="9">
        <v>404</v>
      </c>
      <c r="J38" s="9">
        <v>0</v>
      </c>
      <c r="K38" s="9">
        <v>0</v>
      </c>
      <c r="L38" s="9">
        <f t="shared" si="0"/>
        <v>1264</v>
      </c>
      <c r="M38" s="9">
        <f t="shared" si="1"/>
        <v>0</v>
      </c>
      <c r="N38" s="9"/>
    </row>
    <row r="39" spans="1:14" ht="12.75">
      <c r="A39" s="8">
        <v>29</v>
      </c>
      <c r="B39" s="328" t="s">
        <v>898</v>
      </c>
      <c r="C39" s="9">
        <v>519</v>
      </c>
      <c r="D39" s="9">
        <v>126</v>
      </c>
      <c r="E39" s="9">
        <v>0</v>
      </c>
      <c r="F39" s="9">
        <v>0</v>
      </c>
      <c r="G39" s="9">
        <f>'AT-3'!E37</f>
        <v>645</v>
      </c>
      <c r="H39" s="9">
        <v>519</v>
      </c>
      <c r="I39" s="9">
        <v>126</v>
      </c>
      <c r="J39" s="9">
        <v>0</v>
      </c>
      <c r="K39" s="9">
        <v>0</v>
      </c>
      <c r="L39" s="9">
        <f t="shared" si="0"/>
        <v>645</v>
      </c>
      <c r="M39" s="9">
        <f t="shared" si="1"/>
        <v>0</v>
      </c>
      <c r="N39" s="9"/>
    </row>
    <row r="40" spans="1:14" ht="12.75">
      <c r="A40" s="8">
        <v>30</v>
      </c>
      <c r="B40" s="328" t="s">
        <v>899</v>
      </c>
      <c r="C40" s="9">
        <v>1242</v>
      </c>
      <c r="D40" s="9">
        <v>288</v>
      </c>
      <c r="E40" s="9">
        <v>0</v>
      </c>
      <c r="F40" s="9">
        <v>0</v>
      </c>
      <c r="G40" s="9">
        <f>'AT-3'!E38</f>
        <v>1530</v>
      </c>
      <c r="H40" s="9">
        <v>1242</v>
      </c>
      <c r="I40" s="9">
        <v>288</v>
      </c>
      <c r="J40" s="9">
        <v>0</v>
      </c>
      <c r="K40" s="9">
        <v>0</v>
      </c>
      <c r="L40" s="9">
        <f t="shared" si="0"/>
        <v>1530</v>
      </c>
      <c r="M40" s="9">
        <f t="shared" si="1"/>
        <v>0</v>
      </c>
      <c r="N40" s="9"/>
    </row>
    <row r="41" spans="1:15" ht="12.75">
      <c r="A41" s="8">
        <v>31</v>
      </c>
      <c r="B41" s="328" t="s">
        <v>900</v>
      </c>
      <c r="C41" s="9">
        <v>757</v>
      </c>
      <c r="D41" s="9">
        <v>513</v>
      </c>
      <c r="E41" s="9">
        <v>0</v>
      </c>
      <c r="F41" s="9">
        <v>0</v>
      </c>
      <c r="G41" s="9">
        <f>'AT-3'!E39</f>
        <v>1270</v>
      </c>
      <c r="H41" s="9">
        <v>757</v>
      </c>
      <c r="I41" s="9">
        <v>513</v>
      </c>
      <c r="J41" s="9">
        <v>0</v>
      </c>
      <c r="K41" s="9">
        <v>0</v>
      </c>
      <c r="L41" s="9">
        <f t="shared" si="0"/>
        <v>1270</v>
      </c>
      <c r="M41" s="9">
        <f t="shared" si="1"/>
        <v>0</v>
      </c>
      <c r="N41" s="9"/>
      <c r="O41">
        <f>370+254+118</f>
        <v>742</v>
      </c>
    </row>
    <row r="42" spans="1:14" ht="12.75">
      <c r="A42" s="8">
        <v>32</v>
      </c>
      <c r="B42" s="328" t="s">
        <v>901</v>
      </c>
      <c r="C42" s="9">
        <v>557</v>
      </c>
      <c r="D42" s="9">
        <v>140</v>
      </c>
      <c r="E42" s="9">
        <v>0</v>
      </c>
      <c r="F42" s="9">
        <v>0</v>
      </c>
      <c r="G42" s="9">
        <f>'AT-3'!E40</f>
        <v>697</v>
      </c>
      <c r="H42" s="9">
        <v>557</v>
      </c>
      <c r="I42" s="9">
        <v>140</v>
      </c>
      <c r="J42" s="9">
        <v>0</v>
      </c>
      <c r="K42" s="9">
        <v>0</v>
      </c>
      <c r="L42" s="9">
        <f t="shared" si="0"/>
        <v>697</v>
      </c>
      <c r="M42" s="9">
        <f t="shared" si="1"/>
        <v>0</v>
      </c>
      <c r="N42" s="9"/>
    </row>
    <row r="43" spans="1:14" ht="12.75">
      <c r="A43" s="8">
        <v>33</v>
      </c>
      <c r="B43" s="328" t="s">
        <v>902</v>
      </c>
      <c r="C43" s="9">
        <v>309</v>
      </c>
      <c r="D43" s="9">
        <v>180</v>
      </c>
      <c r="E43" s="9">
        <v>0</v>
      </c>
      <c r="F43" s="9">
        <v>0</v>
      </c>
      <c r="G43" s="9">
        <f>'AT-3'!E41</f>
        <v>489</v>
      </c>
      <c r="H43" s="9">
        <v>309</v>
      </c>
      <c r="I43" s="9">
        <v>180</v>
      </c>
      <c r="J43" s="9">
        <v>0</v>
      </c>
      <c r="K43" s="9">
        <v>0</v>
      </c>
      <c r="L43" s="9">
        <f t="shared" si="0"/>
        <v>489</v>
      </c>
      <c r="M43" s="9">
        <f t="shared" si="1"/>
        <v>0</v>
      </c>
      <c r="N43" s="9"/>
    </row>
    <row r="44" spans="1:14" ht="12.75">
      <c r="A44" s="8">
        <v>34</v>
      </c>
      <c r="B44" s="328" t="s">
        <v>903</v>
      </c>
      <c r="C44" s="9">
        <v>461</v>
      </c>
      <c r="D44" s="9">
        <v>68</v>
      </c>
      <c r="E44" s="9">
        <v>0</v>
      </c>
      <c r="F44" s="9">
        <v>0</v>
      </c>
      <c r="G44" s="9">
        <f>'AT-3'!E42</f>
        <v>529</v>
      </c>
      <c r="H44" s="9">
        <v>461</v>
      </c>
      <c r="I44" s="9">
        <v>68</v>
      </c>
      <c r="J44" s="9">
        <v>0</v>
      </c>
      <c r="K44" s="9">
        <v>0</v>
      </c>
      <c r="L44" s="9">
        <f t="shared" si="0"/>
        <v>529</v>
      </c>
      <c r="M44" s="9">
        <f t="shared" si="1"/>
        <v>0</v>
      </c>
      <c r="N44" s="9"/>
    </row>
    <row r="45" spans="1:14" ht="12.75">
      <c r="A45" s="8">
        <v>35</v>
      </c>
      <c r="B45" s="328" t="s">
        <v>904</v>
      </c>
      <c r="C45" s="9">
        <v>957</v>
      </c>
      <c r="D45" s="9">
        <v>227</v>
      </c>
      <c r="E45" s="9">
        <v>0</v>
      </c>
      <c r="F45" s="9">
        <v>0</v>
      </c>
      <c r="G45" s="9">
        <f>'AT-3'!E43</f>
        <v>1184</v>
      </c>
      <c r="H45" s="9">
        <v>957</v>
      </c>
      <c r="I45" s="9">
        <v>227</v>
      </c>
      <c r="J45" s="9">
        <v>0</v>
      </c>
      <c r="K45" s="9">
        <v>0</v>
      </c>
      <c r="L45" s="9">
        <f t="shared" si="0"/>
        <v>1184</v>
      </c>
      <c r="M45" s="9">
        <f t="shared" si="1"/>
        <v>0</v>
      </c>
      <c r="N45" s="9"/>
    </row>
    <row r="46" spans="1:14" ht="12.75">
      <c r="A46" s="3" t="s">
        <v>19</v>
      </c>
      <c r="B46" s="9"/>
      <c r="C46" s="9">
        <f>SUM(C11:C45)</f>
        <v>22984</v>
      </c>
      <c r="D46" s="9">
        <f aca="true" t="shared" si="2" ref="D46:M46">SUM(D11:D45)</f>
        <v>11960</v>
      </c>
      <c r="E46" s="9">
        <f t="shared" si="2"/>
        <v>20</v>
      </c>
      <c r="F46" s="9">
        <f t="shared" si="2"/>
        <v>8</v>
      </c>
      <c r="G46" s="9">
        <f t="shared" si="2"/>
        <v>34972</v>
      </c>
      <c r="H46" s="9">
        <f t="shared" si="2"/>
        <v>22984</v>
      </c>
      <c r="I46" s="9">
        <f t="shared" si="2"/>
        <v>11882</v>
      </c>
      <c r="J46" s="9">
        <f t="shared" si="2"/>
        <v>20</v>
      </c>
      <c r="K46" s="9">
        <f t="shared" si="2"/>
        <v>8</v>
      </c>
      <c r="L46" s="9">
        <f t="shared" si="2"/>
        <v>34894</v>
      </c>
      <c r="M46" s="9">
        <f t="shared" si="2"/>
        <v>78</v>
      </c>
      <c r="N46" s="9"/>
    </row>
    <row r="47" spans="1:14" ht="12.7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ht="12.75">
      <c r="A48" s="11" t="s">
        <v>8</v>
      </c>
    </row>
    <row r="49" ht="12.75">
      <c r="A49" t="s">
        <v>9</v>
      </c>
    </row>
    <row r="50" spans="1:14" ht="12.75">
      <c r="A50" t="s">
        <v>10</v>
      </c>
      <c r="L50" s="12" t="s">
        <v>11</v>
      </c>
      <c r="M50" s="12"/>
      <c r="N50" s="12" t="s">
        <v>11</v>
      </c>
    </row>
    <row r="51" spans="1:12" ht="12.75">
      <c r="A51" s="16" t="s">
        <v>443</v>
      </c>
      <c r="J51" s="12"/>
      <c r="K51" s="12"/>
      <c r="L51" s="12"/>
    </row>
    <row r="52" spans="3:13" ht="12.75">
      <c r="C52" s="16" t="s">
        <v>444</v>
      </c>
      <c r="E52" s="13"/>
      <c r="F52" s="13"/>
      <c r="G52" s="13"/>
      <c r="H52" s="13"/>
      <c r="I52" s="13"/>
      <c r="J52" s="13"/>
      <c r="K52" s="13"/>
      <c r="L52" s="13"/>
      <c r="M52" s="13"/>
    </row>
    <row r="53" spans="5:14" ht="12.75"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5:14" ht="12.75">
      <c r="E54" s="13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5.75" customHeight="1">
      <c r="A55" s="14" t="s">
        <v>12</v>
      </c>
      <c r="B55" s="14"/>
      <c r="C55" s="14"/>
      <c r="D55" s="14"/>
      <c r="E55" s="14"/>
      <c r="F55" s="14"/>
      <c r="G55" s="14"/>
      <c r="H55" s="14"/>
      <c r="L55" s="398"/>
      <c r="M55" s="398"/>
      <c r="N55" s="398"/>
    </row>
    <row r="56" spans="1:14" ht="15.75" customHeight="1">
      <c r="A56" s="398"/>
      <c r="B56" s="398"/>
      <c r="C56" s="748" t="s">
        <v>1021</v>
      </c>
      <c r="D56" s="748"/>
      <c r="E56" s="748"/>
      <c r="F56" s="748"/>
      <c r="G56" s="406"/>
      <c r="H56" s="406"/>
      <c r="I56" s="83"/>
      <c r="J56" s="83"/>
      <c r="K56" s="748" t="s">
        <v>1024</v>
      </c>
      <c r="L56" s="748"/>
      <c r="M56" s="748"/>
      <c r="N56" s="748"/>
    </row>
    <row r="57" spans="1:14" ht="15.75" customHeight="1">
      <c r="A57" s="398"/>
      <c r="B57" s="398"/>
      <c r="C57" s="748" t="s">
        <v>1022</v>
      </c>
      <c r="D57" s="748"/>
      <c r="E57" s="748"/>
      <c r="F57" s="748"/>
      <c r="G57" s="406"/>
      <c r="H57" s="406"/>
      <c r="I57" s="406"/>
      <c r="J57" s="16"/>
      <c r="K57" s="748" t="s">
        <v>1025</v>
      </c>
      <c r="L57" s="748"/>
      <c r="M57" s="748"/>
      <c r="N57" s="748"/>
    </row>
    <row r="58" spans="3:14" ht="12.75">
      <c r="C58" s="735" t="s">
        <v>1023</v>
      </c>
      <c r="D58" s="735"/>
      <c r="E58" s="735"/>
      <c r="F58" s="735"/>
      <c r="G58" s="406"/>
      <c r="H58" s="406"/>
      <c r="I58" s="531"/>
      <c r="J58" s="16"/>
      <c r="K58" s="735" t="s">
        <v>1023</v>
      </c>
      <c r="L58" s="735"/>
      <c r="M58" s="735"/>
      <c r="N58" s="735"/>
    </row>
    <row r="59" spans="1:14" ht="12.75">
      <c r="A59" s="805"/>
      <c r="B59" s="805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</row>
  </sheetData>
  <sheetProtection/>
  <mergeCells count="19">
    <mergeCell ref="C56:F56"/>
    <mergeCell ref="K56:N56"/>
    <mergeCell ref="C57:F57"/>
    <mergeCell ref="D1:J1"/>
    <mergeCell ref="A2:N2"/>
    <mergeCell ref="A3:N3"/>
    <mergeCell ref="A5:N5"/>
    <mergeCell ref="L7:N7"/>
    <mergeCell ref="A7:C7"/>
    <mergeCell ref="K57:N57"/>
    <mergeCell ref="C58:F58"/>
    <mergeCell ref="K58:N58"/>
    <mergeCell ref="A59:N59"/>
    <mergeCell ref="M8:M9"/>
    <mergeCell ref="N8:N9"/>
    <mergeCell ref="A8:A9"/>
    <mergeCell ref="B8:B9"/>
    <mergeCell ref="C8:G8"/>
    <mergeCell ref="H8:L8"/>
  </mergeCells>
  <printOptions horizontalCentered="1"/>
  <pageMargins left="0.7086614173228347" right="0.7086614173228347" top="0.2362204724409449" bottom="0" header="0.23" footer="0.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2018-05-08T12:17:40Z</cp:lastPrinted>
  <dcterms:created xsi:type="dcterms:W3CDTF">1996-10-14T23:33:28Z</dcterms:created>
  <dcterms:modified xsi:type="dcterms:W3CDTF">2018-05-13T12:48:14Z</dcterms:modified>
  <cp:category/>
  <cp:version/>
  <cp:contentType/>
  <cp:contentStatus/>
</cp:coreProperties>
</file>