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4040" windowHeight="3390" tabRatio="819" activeTab="0"/>
  </bookViews>
  <sheets>
    <sheet name="Mizoram" sheetId="1" r:id="rId1"/>
    <sheet name="Sheet1" sheetId="2" r:id="rId2"/>
  </sheets>
  <definedNames>
    <definedName name="_xlnm.Print_Area" localSheetId="0">'Mizoram'!$A$1:$H$586</definedName>
  </definedNames>
  <calcPr fullCalcOnLoad="1"/>
</workbook>
</file>

<file path=xl/sharedStrings.xml><?xml version="1.0" encoding="utf-8"?>
<sst xmlns="http://schemas.openxmlformats.org/spreadsheetml/2006/main" count="818" uniqueCount="340">
  <si>
    <t>2007-08</t>
  </si>
  <si>
    <t>Sr. No.</t>
  </si>
  <si>
    <t>District</t>
  </si>
  <si>
    <t>Total</t>
  </si>
  <si>
    <t>Achievement as % of allocation</t>
  </si>
  <si>
    <t>Phy</t>
  </si>
  <si>
    <t>1st Installment</t>
  </si>
  <si>
    <t>2nd Installment</t>
  </si>
  <si>
    <t>Installment</t>
  </si>
  <si>
    <t>Dated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</si>
  <si>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</si>
  <si>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</si>
  <si>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</si>
  <si>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</si>
  <si>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</si>
  <si>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</si>
  <si>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</si>
  <si>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</si>
  <si>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Upper Primary</t>
  </si>
  <si>
    <t>Sub total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</si>
  <si>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</si>
  <si>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</si>
  <si>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</si>
  <si>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</si>
  <si>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</si>
  <si>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</si>
  <si>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</si>
  <si>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</si>
  <si>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</si>
  <si>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</si>
  <si>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</si>
  <si>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</si>
  <si>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</si>
  <si>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</si>
  <si>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</si>
  <si>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Total Availibility</t>
  </si>
  <si>
    <t>% Availibility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</si>
  <si>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</si>
  <si>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</si>
  <si>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</si>
  <si>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</si>
  <si>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</si>
  <si>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</si>
  <si>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</si>
  <si>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Total Availibility of cooking cost</t>
  </si>
  <si>
    <t xml:space="preserve">Cooking assistance received </t>
  </si>
  <si>
    <t>% Availibility of cooking cost</t>
  </si>
  <si>
    <t>Availibility</t>
  </si>
  <si>
    <t xml:space="preserve">% Utilisation                    </t>
  </si>
  <si>
    <t>Utilisation of Cooking assistance</t>
  </si>
  <si>
    <t>Mis-match in % points</t>
  </si>
  <si>
    <t>As per GoI record</t>
  </si>
  <si>
    <t xml:space="preserve">As per State's AWP&amp;B </t>
  </si>
  <si>
    <t>(in MTs)</t>
  </si>
  <si>
    <t>Government of India</t>
  </si>
  <si>
    <t>Bench mark (85%)</t>
  </si>
  <si>
    <t>TOTAL</t>
  </si>
  <si>
    <t>5(4-3)</t>
  </si>
  <si>
    <t>% Disbursed</t>
  </si>
  <si>
    <t>Amount                                                 (Rs. In lakh)</t>
  </si>
  <si>
    <t>O.B. (1.4.07)</t>
  </si>
  <si>
    <t>Activity</t>
  </si>
  <si>
    <t>Expenditure</t>
  </si>
  <si>
    <t>Exp as % of allocation</t>
  </si>
  <si>
    <t>Management, Supervision, Training &amp; Internal Monitoring</t>
  </si>
  <si>
    <t>External Monitoring &amp; Evaluation</t>
  </si>
  <si>
    <t>School Level Expenses</t>
  </si>
  <si>
    <t xml:space="preserve">Total Availibility </t>
  </si>
  <si>
    <t>Adhoc Releasaed</t>
  </si>
  <si>
    <t>Primary + Upper Primary</t>
  </si>
  <si>
    <t>2009-10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</si>
  <si>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</si>
  <si>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</si>
  <si>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</si>
  <si>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</si>
  <si>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</si>
  <si>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</si>
  <si>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</si>
  <si>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</si>
  <si>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</si>
  <si>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</si>
  <si>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Lakhs)</t>
  </si>
  <si>
    <t>Expected expenditure of cooking cost</t>
  </si>
  <si>
    <t>Actual expenditure of cooking cost</t>
  </si>
  <si>
    <t>Diff in %</t>
  </si>
  <si>
    <t>No. of Meals as per PAB approval</t>
  </si>
  <si>
    <t>No. of Meals claimed to have served by the State</t>
  </si>
  <si>
    <t>PY &amp; UP PY</t>
  </si>
  <si>
    <t>Bench Mark as per State's claim</t>
  </si>
  <si>
    <t>Stage</t>
  </si>
  <si>
    <t>Up Primary</t>
  </si>
  <si>
    <t>7.1) Releasing details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</si>
  <si>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</si>
  <si>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</si>
  <si>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</si>
  <si>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</si>
  <si>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</si>
  <si>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</si>
  <si>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</si>
  <si>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</si>
  <si>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>8.1) Releasing details</t>
  </si>
  <si>
    <t xml:space="preserve">PY </t>
  </si>
  <si>
    <t>UP PY</t>
  </si>
  <si>
    <t>PY &amp; UP PY  (Total)</t>
  </si>
  <si>
    <t>PY</t>
  </si>
  <si>
    <t>U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</si>
  <si>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</si>
  <si>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</si>
  <si>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</si>
  <si>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</si>
  <si>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</si>
  <si>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</si>
  <si>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% . Availibility</t>
  </si>
  <si>
    <t>Bills submited by FCI</t>
  </si>
  <si>
    <t>Payment made to FCI</t>
  </si>
  <si>
    <t>% payment</t>
  </si>
  <si>
    <t>Bills raised by FCI</t>
  </si>
  <si>
    <t>Payment to FCI by State</t>
  </si>
  <si>
    <t>Pending Bills</t>
  </si>
  <si>
    <t>Bill paid</t>
  </si>
  <si>
    <t>Balance of 1st Installment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</si>
  <si>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</si>
  <si>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</si>
  <si>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</si>
  <si>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</si>
  <si>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</si>
  <si>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</si>
  <si>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</si>
  <si>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</si>
  <si>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3.5)  Foodgrains Allocation, Lifting (availibility) &amp; Utilisation</t>
  </si>
  <si>
    <t>3.7)  Foodgrains Allocation, Lifting (availibility) &amp; Utilisation</t>
  </si>
  <si>
    <t xml:space="preserve">3.8) Payment of cost of foodgrain to FCI </t>
  </si>
  <si>
    <t>State : Mizoram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</si>
  <si>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</si>
  <si>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</si>
  <si>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</si>
  <si>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</si>
  <si>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</si>
  <si>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</si>
  <si>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</si>
  <si>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</si>
  <si>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OB as on 01.04.11</t>
  </si>
  <si>
    <t>Adhoc Released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</si>
  <si>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</si>
  <si>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</si>
  <si>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</si>
  <si>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</si>
  <si>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</si>
  <si>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</si>
  <si>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</si>
  <si>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</si>
  <si>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</si>
  <si>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</si>
  <si>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</si>
  <si>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</si>
  <si>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</si>
  <si>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1.3)  No. of Meals (Primary &amp; Upper Primary)</t>
  </si>
  <si>
    <t xml:space="preserve">2.1 COVERAGE OF INSTITUTIONS </t>
  </si>
  <si>
    <t xml:space="preserve">2.2 COVERAGE OF CHILDREN </t>
  </si>
  <si>
    <t>4.1 ) Releasing details</t>
  </si>
  <si>
    <t>7. ANALYSIS ON MANAGEMENT, MONITORING &amp; EVALUATION (MME)</t>
  </si>
  <si>
    <t>7.2)  Reconciliation of MME OB, Allocation &amp; Releasing [PY + U PY]</t>
  </si>
  <si>
    <t>8. ANALYSIS ON CENTRAL ASSISTANCE TOWARDS TRANSPORT ASSISTANCE</t>
  </si>
  <si>
    <t>8.2)  Reconciliation of TA OB, Allocation &amp; Releasing [PY + U PY]</t>
  </si>
  <si>
    <t>9.1) Releasing details</t>
  </si>
  <si>
    <t xml:space="preserve">9.2) Reconciliation of amount sanctioned </t>
  </si>
  <si>
    <t>9.4) Releasing details</t>
  </si>
  <si>
    <t xml:space="preserve">KITCHEN DEVICES </t>
  </si>
  <si>
    <t>6. ANALYSIS OF HONORARIUM TO COOK-CUM-HELPERS</t>
  </si>
  <si>
    <t>3.3)  Foodgrains :  Allocation &amp; Lifting</t>
  </si>
  <si>
    <t xml:space="preserve">5.1 Mismatch between Utilisation of Foodgrains and Cooking Cost </t>
  </si>
  <si>
    <t xml:space="preserve">I. KITCHEN-CUM -STORES </t>
  </si>
  <si>
    <t>Total  Availibility</t>
  </si>
  <si>
    <t>% Total Availibility</t>
  </si>
  <si>
    <t>1.1 No. of children</t>
  </si>
  <si>
    <t>No. of Existing Institutions</t>
  </si>
  <si>
    <t>No. of  Existing Institutions</t>
  </si>
  <si>
    <t xml:space="preserve">9.5) Reconciliation of amount sanctioned </t>
  </si>
  <si>
    <t>Difference in %</t>
  </si>
  <si>
    <t>3. ANALYSIS ON FOODGRAINS (PRIMARY + UPPER PRIMARY)</t>
  </si>
  <si>
    <t>Details</t>
  </si>
  <si>
    <t>II .COVERAGE  STATUS UNDER MDM</t>
  </si>
  <si>
    <t>Enrollment</t>
  </si>
  <si>
    <t>2012-13</t>
  </si>
  <si>
    <t>Total Cost per meal</t>
  </si>
  <si>
    <t>Centre-State sharing</t>
  </si>
  <si>
    <t>Non-NER States(75:25)</t>
  </si>
  <si>
    <t>NER States (90:10)</t>
  </si>
  <si>
    <t>Centre</t>
  </si>
  <si>
    <t>State</t>
  </si>
  <si>
    <t>Pry.</t>
  </si>
  <si>
    <t>Rs.3.11</t>
  </si>
  <si>
    <t>Rs.2.33</t>
  </si>
  <si>
    <t>Rs.0.78</t>
  </si>
  <si>
    <t>Rs.2.80</t>
  </si>
  <si>
    <t>Rs.0.31</t>
  </si>
  <si>
    <t>U. Pry.</t>
  </si>
  <si>
    <t>Rs.4.65</t>
  </si>
  <si>
    <t>Rs.3.49</t>
  </si>
  <si>
    <t>Rs.1.16</t>
  </si>
  <si>
    <t>Rs.4.19</t>
  </si>
  <si>
    <t>Rs.0.46</t>
  </si>
  <si>
    <t>Approval</t>
  </si>
  <si>
    <t>Pry</t>
  </si>
  <si>
    <t>U.Pry</t>
  </si>
  <si>
    <t>Average number of children availing MDM</t>
  </si>
  <si>
    <t>2013-14</t>
  </si>
  <si>
    <t>Primary +Upper Primary</t>
  </si>
  <si>
    <t>6.3)  District-wise status of Closing balance of grant for Honorarium, cooks-cum-Helpers</t>
  </si>
  <si>
    <t>Closing Balance</t>
  </si>
  <si>
    <t>U Pry</t>
  </si>
  <si>
    <t>Expected</t>
  </si>
  <si>
    <t>Meal</t>
  </si>
  <si>
    <t>FG Expect</t>
  </si>
  <si>
    <t>FG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</si>
  <si>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</si>
  <si>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</si>
  <si>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</si>
  <si>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</si>
  <si>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</si>
  <si>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4.2) ANALYSIS ON OPENING BALANACE AND CLOSING BALANACE</t>
  </si>
  <si>
    <t>4.5) Cooking Cost Utilisation</t>
  </si>
  <si>
    <t>4. ANALYSIS ON COOKING COST (PRIMARY + UPPER PRIMARY)</t>
  </si>
  <si>
    <t>Pry.+ U. Pry</t>
  </si>
  <si>
    <t>Institutions</t>
  </si>
  <si>
    <t>Serving</t>
  </si>
  <si>
    <t>Served</t>
  </si>
  <si>
    <t>To be Served</t>
  </si>
  <si>
    <t>Opening Balance</t>
  </si>
  <si>
    <t>Lifting</t>
  </si>
  <si>
    <t>Closing Balance / UNSPENT</t>
  </si>
  <si>
    <t>Quantity Consumed / Utilization</t>
  </si>
  <si>
    <t>Allocation (Cooking Cost)</t>
  </si>
  <si>
    <t>Opening Balance(Cooking Cost)</t>
  </si>
  <si>
    <t>Closing Balance(Cooking Cost)</t>
  </si>
  <si>
    <t>Cooking Assistance (Cooking Cost)</t>
  </si>
  <si>
    <t>Received</t>
  </si>
  <si>
    <t>Utilization (Cooking Cost)</t>
  </si>
  <si>
    <t>Payment to CCH</t>
  </si>
  <si>
    <t>Allocation CCH</t>
  </si>
  <si>
    <t>Opening Balance CCH</t>
  </si>
  <si>
    <t>Amount Released (RECEIVED) / CCH</t>
  </si>
  <si>
    <t>Cl. Balance (Unspent Bal.) CCH</t>
  </si>
  <si>
    <t xml:space="preserve">  ANALYSIS SHEET</t>
  </si>
  <si>
    <t>4.3) Cooking cost allocation and availability</t>
  </si>
  <si>
    <t>Availability</t>
  </si>
  <si>
    <t>U. Pry</t>
  </si>
  <si>
    <t>Pry+U.Pry.</t>
  </si>
  <si>
    <t>Existing</t>
  </si>
  <si>
    <t>Opening Stock as on 1.4.2016</t>
  </si>
  <si>
    <t>Lifting as on 31.12.2016</t>
  </si>
  <si>
    <t>2014-15</t>
  </si>
  <si>
    <t>2015-16</t>
  </si>
  <si>
    <t>Amount       (in lakh)</t>
  </si>
  <si>
    <t>Amount     (in lakh)</t>
  </si>
  <si>
    <t>*The PAB MDM has approved 110 kitchen cum stores during 2014-15. The fund has released on 16.03.2016.</t>
  </si>
  <si>
    <t>Annual Work Plan &amp; Budget  (AWP&amp;B) 2018-19</t>
  </si>
  <si>
    <t>2.1.1  Institutions- (Primary)                                                                  (Source: Table AT-3A  of AWP&amp;B 2018-19)</t>
  </si>
  <si>
    <t>2.1.2   Institutions- (Upper Primary)                                                           (Source :Table AT-3B &amp; 3C  of AWP&amp;B 2018-19)</t>
  </si>
  <si>
    <t>2.2.1 PAB Approval VS. Coverage of children  ( Primary)           Source : Table AT-5  of AWP&amp;B 2018-19)</t>
  </si>
  <si>
    <t>2.2.2 PAB Approval VS Coverage of children (Upper Primary)    (Source: Table AT-5-A of AWP&amp;B 2018-19)</t>
  </si>
  <si>
    <t>2.2.3 Enrolment Vs Coverage of children ( Primary)    (Source : Table AT-4  of AWP&amp;B 2018-19)</t>
  </si>
  <si>
    <t>2.2.4  Enrolment Vs. Coverage of children  (U.Primary)           (Source : Table AT-4A  of AWP&amp;B 2018-19)</t>
  </si>
  <si>
    <t>(Source: Table AT-5 &amp; 5A of AWP&amp;B 2018-19)</t>
  </si>
  <si>
    <t>Source: Table AT-6 &amp; 6A of AWP&amp;B 2018-19</t>
  </si>
  <si>
    <t>3.6)  District-wise Utilisation of foodgrains (Source: Table AT-6 &amp; 6A of AWP&amp;B 2018-19)</t>
  </si>
  <si>
    <t>4.4)  District-wise Cooking Cost availability (Source : Table AT-7 &amp; 7A of AWP&amp;B 2018-19)</t>
  </si>
  <si>
    <t>4.6)  District-wise Utilisation of Cooking cost (Source : Table AT-7 &amp; 7A of AWP&amp;B 2018-19)</t>
  </si>
  <si>
    <t>Refer table AT_8 and AT-8A,AWP&amp;B, 2018-19</t>
  </si>
  <si>
    <t>9.3) Achievement ( under MDM Funds) (Source data: Table AT-11 of AWP&amp;B 2018-19)</t>
  </si>
  <si>
    <t>9.6) Achievement ( under MDM Funds for New Kitchen Devices) (Source data: Table AT-12 of AWP&amp;B 2018-19)</t>
  </si>
  <si>
    <t>MDM PAB Approval for 2017-18</t>
  </si>
  <si>
    <t>1.2 (a) No. of  Working Days Approved for FY 2017-18</t>
  </si>
  <si>
    <t>No of working days approved for FY 2017-18</t>
  </si>
  <si>
    <t>No. of children as per PAB Approval for  2017-18</t>
  </si>
  <si>
    <t>2.3 Number of meal to be served and  actual  number of meal served during 2017-18</t>
  </si>
  <si>
    <t>Allocation for 2017-18</t>
  </si>
  <si>
    <t xml:space="preserve">Allocation for 2017-18                          </t>
  </si>
  <si>
    <t>% of OS on allocation 2017-18</t>
  </si>
  <si>
    <t>% of UB on allocation 2017-18</t>
  </si>
  <si>
    <t>Releases for Cooking cost by GoI (2017-18)</t>
  </si>
  <si>
    <t xml:space="preserve">Allocation for 2017-18                                     </t>
  </si>
  <si>
    <t>% of OB on allocation 2017-18</t>
  </si>
  <si>
    <t>% of Closing Balance on allocation 2017-18</t>
  </si>
  <si>
    <t>5. Reconciliation of Utilisation and Performance during 2017-18 [PRIMARY+ UPPER PRIMARY]</t>
  </si>
  <si>
    <t>5.2 Reconciliation of Food grains utilisation during 2017-18</t>
  </si>
  <si>
    <t>5.3 Reconciliation of Cooking Cost utilisation during 2017-18 (Source para 2.5 and 4.7 above)</t>
  </si>
  <si>
    <t>% of UB as on Allocation 2017-18</t>
  </si>
  <si>
    <t>Releases for MME by GoI (2017-18)</t>
  </si>
  <si>
    <t>Releasing during 2017-18</t>
  </si>
  <si>
    <t>7.3) Utilisation of MME during 2017-18 (Source data: Table AT-10 of AWP&amp;B 2018-19)</t>
  </si>
  <si>
    <t>Allocated for 2017-18</t>
  </si>
  <si>
    <t>Releases for TA by GoI (2017-18)</t>
  </si>
  <si>
    <t>Releases during 2017-18</t>
  </si>
  <si>
    <t>8.3) Utilisation of TA during 2017-18 (Source data: Table AT-9 of AWP&amp;B 2018-19)</t>
  </si>
  <si>
    <t>9. INFRASTRUCTURE DEVELOPMENT DURING 2017-18 (Primary + Upper primary)</t>
  </si>
  <si>
    <t>2017-18</t>
  </si>
  <si>
    <t>2006-07 to 2017-18</t>
  </si>
  <si>
    <t>Sactioned by GoI during 2006-07 to 2017-18</t>
  </si>
  <si>
    <t>Sactioned during 2006-07 to 2017-18</t>
  </si>
  <si>
    <t xml:space="preserve"> REVIEW OF IMPLEMENTATION OF MDM SCHEME DURING 2017-18 (1.4.17 to 31.03.18)</t>
  </si>
  <si>
    <t>Average number of children availed MDM during 1.4.17 to 31.03.18 (AT-5&amp;5A)</t>
  </si>
  <si>
    <t xml:space="preserve">1.2 (b) No. of School working days  approved </t>
  </si>
  <si>
    <t xml:space="preserve">No of Working days approved </t>
  </si>
  <si>
    <t>i) Base period 01.04.17 to 31.03.18</t>
  </si>
  <si>
    <t>No. of Meals as per PAB approval (01.04.17 to 31.3.18)</t>
  </si>
  <si>
    <t>ii) Base period 01.04.17to 31.03.18 (Working Days- 215 for Primary and 220 for U. Primary)</t>
  </si>
  <si>
    <t>No. of Meals served by State during the period 01.04.17 to 31.03.18</t>
  </si>
  <si>
    <t>No of meals to be served during 1.4.17 to 31-03-2018</t>
  </si>
  <si>
    <t>No of meal served during 1.4.17 to 31.03.18</t>
  </si>
  <si>
    <t>Lifting upto 31.03.18</t>
  </si>
  <si>
    <t>3.4) District-wise Foodgrains availability  as on 31.03.18 (Source : Table AT-6 &amp; 6A of AWP&amp;B 2018-19)</t>
  </si>
  <si>
    <t>OB as on 1.4.2017</t>
  </si>
  <si>
    <t>01.04.2017</t>
  </si>
  <si>
    <t>OB as on 01.04.17</t>
  </si>
  <si>
    <t>03.05.2017</t>
  </si>
  <si>
    <t>30.06.2017</t>
  </si>
  <si>
    <t>31.11.2017</t>
  </si>
  <si>
    <t xml:space="preserve"> 4.2.1) District-wise opening balance as on 1.4.2017 (Source : Table AT-7 &amp; 7A of AWP&amp;B 2018-19)</t>
  </si>
  <si>
    <t xml:space="preserve">Opening Balance as on 1.4.2017                                            </t>
  </si>
  <si>
    <t xml:space="preserve"> 4.2.2) District-wise Closing balance as on 31.03.2017 (Source : Table AT-7 &amp; 7A of AWP&amp;B 2018-19)</t>
  </si>
  <si>
    <t xml:space="preserve">Closing Balance as on 31.03.2017                                         </t>
  </si>
  <si>
    <t xml:space="preserve">No. of Meals served during 01.4.17 to 31.03.18     </t>
  </si>
  <si>
    <t>Closing balance as on 31.03.18</t>
  </si>
  <si>
    <t>Opening Balance as on 1.4.2017</t>
  </si>
  <si>
    <t>2016-17</t>
  </si>
  <si>
    <t>Releases for Kitchen sheds by GoI as on 31.03.2018</t>
  </si>
  <si>
    <t>Achievement (C+IP)                                  upto 31.03.18</t>
  </si>
  <si>
    <t>Releases for Kitchen devices by GoI as on 31.03.18</t>
  </si>
  <si>
    <t>KD New</t>
  </si>
  <si>
    <t>KD Replacement</t>
  </si>
  <si>
    <r>
      <t>(i</t>
    </r>
    <r>
      <rPr>
        <i/>
        <sz val="10"/>
        <rFont val="Arial"/>
        <family val="2"/>
      </rPr>
      <t>n MTs)</t>
    </r>
  </si>
  <si>
    <t>Unspent balance as on 01.4.17</t>
  </si>
  <si>
    <t>2018-19</t>
  </si>
  <si>
    <t xml:space="preserve"> 3.2.1) District-wise opening balance as on 1.4.2017 (Source: Table AT-6 &amp; 6A of AWP&amp;B 2018-19)</t>
  </si>
  <si>
    <t xml:space="preserve">Opening Balance as on 1.4.2017                                                  </t>
  </si>
  <si>
    <t xml:space="preserve">Closing Balance as on 31.03.2017                          </t>
  </si>
  <si>
    <t xml:space="preserve"> 3.2.2) District-wise unspent balance as on 31.03.2017 (Source: Table AT-6 &amp; 6A of AWP&amp;B 2018-19)</t>
  </si>
  <si>
    <t>(As on 31.03.18)</t>
  </si>
  <si>
    <t>(As on 31.0318)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</si>
</sst>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0.0"/>
    <numFmt numFmtId="184" formatCode="0.0%"/>
    <numFmt numFmtId="185" formatCode="0.00000000"/>
    <numFmt numFmtId="186" formatCode="0.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??_);_(@_)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[$-4009]dd\ mmmm\ yyyy"/>
    <numFmt numFmtId="198" formatCode="[$-409]dddd\,\ mmmm\ dd\,\ yyyy"/>
    <numFmt numFmtId="199" formatCode="[$-409]h:mm:ss\ AM/PM"/>
    <numFmt numFmtId="200" formatCode="0.000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5" fillId="0" borderId="0" xfId="82" applyNumberFormat="1" applyFont="1" applyFill="1" applyBorder="1" applyAlignment="1">
      <alignment horizontal="center"/>
    </xf>
    <xf numFmtId="9" fontId="0" fillId="0" borderId="0" xfId="82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0" fillId="0" borderId="0" xfId="82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9" fontId="5" fillId="0" borderId="0" xfId="82" applyFont="1" applyFill="1" applyBorder="1" applyAlignment="1">
      <alignment/>
    </xf>
    <xf numFmtId="0" fontId="0" fillId="0" borderId="0" xfId="0" applyFont="1" applyBorder="1" applyAlignment="1">
      <alignment horizontal="center"/>
    </xf>
    <xf numFmtId="9" fontId="13" fillId="0" borderId="0" xfId="82" applyFont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2" applyFont="1" applyBorder="1" applyAlignment="1">
      <alignment/>
    </xf>
    <xf numFmtId="0" fontId="0" fillId="0" borderId="16" xfId="0" applyFont="1" applyBorder="1" applyAlignment="1">
      <alignment horizontal="center"/>
    </xf>
    <xf numFmtId="2" fontId="13" fillId="0" borderId="0" xfId="82" applyNumberFormat="1" applyFont="1" applyAlignment="1">
      <alignment/>
    </xf>
    <xf numFmtId="0" fontId="13" fillId="0" borderId="0" xfId="82" applyNumberFormat="1" applyFont="1" applyAlignment="1">
      <alignment/>
    </xf>
    <xf numFmtId="0" fontId="0" fillId="0" borderId="0" xfId="82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0" fontId="0" fillId="33" borderId="0" xfId="0" applyFont="1" applyFill="1" applyAlignment="1">
      <alignment/>
    </xf>
    <xf numFmtId="9" fontId="0" fillId="33" borderId="0" xfId="82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6" fillId="34" borderId="0" xfId="0" applyNumberFormat="1" applyFont="1" applyFill="1" applyBorder="1" applyAlignment="1">
      <alignment horizontal="left" vertical="top"/>
    </xf>
    <xf numFmtId="2" fontId="7" fillId="34" borderId="0" xfId="0" applyNumberFormat="1" applyFont="1" applyFill="1" applyBorder="1" applyAlignment="1">
      <alignment horizontal="center" vertical="top" wrapText="1"/>
    </xf>
    <xf numFmtId="9" fontId="7" fillId="34" borderId="0" xfId="82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9" fontId="0" fillId="0" borderId="0" xfId="82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center" vertical="top" wrapText="1"/>
    </xf>
    <xf numFmtId="9" fontId="15" fillId="0" borderId="0" xfId="82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9" fontId="5" fillId="0" borderId="0" xfId="82" applyFont="1" applyFill="1" applyBorder="1" applyAlignment="1">
      <alignment vertical="center"/>
    </xf>
    <xf numFmtId="0" fontId="0" fillId="0" borderId="0" xfId="0" applyFont="1" applyAlignment="1" quotePrefix="1">
      <alignment/>
    </xf>
    <xf numFmtId="2" fontId="0" fillId="0" borderId="12" xfId="0" applyNumberFormat="1" applyFont="1" applyBorder="1" applyAlignment="1">
      <alignment horizontal="right"/>
    </xf>
    <xf numFmtId="2" fontId="8" fillId="0" borderId="0" xfId="61" applyNumberFormat="1" applyFont="1" applyBorder="1" applyAlignment="1">
      <alignment horizontal="right" indent="1"/>
      <protection/>
    </xf>
    <xf numFmtId="2" fontId="4" fillId="0" borderId="0" xfId="61" applyNumberFormat="1" applyFont="1" applyBorder="1" applyAlignment="1">
      <alignment horizontal="right" indent="1"/>
      <protection/>
    </xf>
    <xf numFmtId="2" fontId="5" fillId="0" borderId="0" xfId="0" applyNumberFormat="1" applyFont="1" applyBorder="1" applyAlignment="1">
      <alignment horizontal="righ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2" fontId="10" fillId="34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2" fontId="5" fillId="34" borderId="2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 vertical="top"/>
    </xf>
    <xf numFmtId="2" fontId="7" fillId="33" borderId="0" xfId="0" applyNumberFormat="1" applyFont="1" applyFill="1" applyBorder="1" applyAlignment="1">
      <alignment horizontal="center" vertical="top" wrapText="1"/>
    </xf>
    <xf numFmtId="9" fontId="0" fillId="33" borderId="0" xfId="82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2" fontId="5" fillId="35" borderId="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 vertical="center" wrapText="1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 horizontal="left" vertical="center"/>
    </xf>
    <xf numFmtId="1" fontId="5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/>
    </xf>
    <xf numFmtId="2" fontId="5" fillId="37" borderId="0" xfId="0" applyNumberFormat="1" applyFont="1" applyFill="1" applyBorder="1" applyAlignment="1">
      <alignment horizontal="center" vertical="top" wrapText="1"/>
    </xf>
    <xf numFmtId="2" fontId="5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16" fillId="34" borderId="0" xfId="0" applyFont="1" applyFill="1" applyAlignment="1">
      <alignment/>
    </xf>
    <xf numFmtId="0" fontId="12" fillId="34" borderId="0" xfId="0" applyFont="1" applyFill="1" applyAlignment="1">
      <alignment/>
    </xf>
    <xf numFmtId="9" fontId="5" fillId="37" borderId="0" xfId="82" applyFont="1" applyFill="1" applyBorder="1" applyAlignment="1">
      <alignment/>
    </xf>
    <xf numFmtId="9" fontId="5" fillId="37" borderId="0" xfId="82" applyFont="1" applyFill="1" applyAlignment="1">
      <alignment/>
    </xf>
    <xf numFmtId="2" fontId="5" fillId="37" borderId="0" xfId="0" applyNumberFormat="1" applyFont="1" applyFill="1" applyBorder="1" applyAlignment="1">
      <alignment/>
    </xf>
    <xf numFmtId="2" fontId="5" fillId="37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14" fillId="37" borderId="0" xfId="0" applyFont="1" applyFill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0" xfId="72" applyFont="1" applyFill="1">
      <alignment/>
      <protection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9" fontId="0" fillId="0" borderId="0" xfId="84" applyFont="1" applyFill="1" applyBorder="1" applyAlignment="1">
      <alignment/>
    </xf>
    <xf numFmtId="9" fontId="5" fillId="0" borderId="0" xfId="84" applyFont="1" applyFill="1" applyBorder="1" applyAlignment="1">
      <alignment/>
    </xf>
    <xf numFmtId="0" fontId="5" fillId="0" borderId="0" xfId="72" applyFont="1" applyFill="1" applyBorder="1">
      <alignment/>
      <protection/>
    </xf>
    <xf numFmtId="0" fontId="6" fillId="0" borderId="0" xfId="72" applyFont="1" applyFill="1" applyBorder="1" applyAlignment="1">
      <alignment horizontal="left" vertical="top" wrapText="1"/>
      <protection/>
    </xf>
    <xf numFmtId="2" fontId="5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2" fontId="5" fillId="0" borderId="0" xfId="7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0" xfId="84" applyNumberFormat="1" applyFont="1" applyFill="1" applyBorder="1" applyAlignment="1">
      <alignment/>
    </xf>
    <xf numFmtId="20" fontId="9" fillId="0" borderId="0" xfId="0" applyNumberFormat="1" applyFon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0" fillId="37" borderId="17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9" fontId="67" fillId="0" borderId="0" xfId="82" applyFont="1" applyBorder="1" applyAlignment="1">
      <alignment/>
    </xf>
    <xf numFmtId="0" fontId="67" fillId="37" borderId="0" xfId="0" applyFont="1" applyFill="1" applyBorder="1" applyAlignment="1">
      <alignment horizontal="center" wrapText="1"/>
    </xf>
    <xf numFmtId="0" fontId="68" fillId="37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9" fillId="0" borderId="0" xfId="0" applyFont="1" applyFill="1" applyAlignment="1">
      <alignment/>
    </xf>
    <xf numFmtId="1" fontId="67" fillId="37" borderId="0" xfId="0" applyNumberFormat="1" applyFont="1" applyFill="1" applyBorder="1" applyAlignment="1">
      <alignment/>
    </xf>
    <xf numFmtId="9" fontId="67" fillId="37" borderId="0" xfId="82" applyFont="1" applyFill="1" applyBorder="1" applyAlignment="1">
      <alignment horizontal="right"/>
    </xf>
    <xf numFmtId="0" fontId="67" fillId="37" borderId="0" xfId="0" applyFont="1" applyFill="1" applyAlignment="1">
      <alignment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Alignment="1">
      <alignment/>
    </xf>
    <xf numFmtId="0" fontId="66" fillId="0" borderId="0" xfId="0" applyFont="1" applyBorder="1" applyAlignment="1">
      <alignment horizontal="center" wrapText="1"/>
    </xf>
    <xf numFmtId="2" fontId="67" fillId="0" borderId="0" xfId="0" applyNumberFormat="1" applyFont="1" applyBorder="1" applyAlignment="1">
      <alignment/>
    </xf>
    <xf numFmtId="0" fontId="66" fillId="37" borderId="0" xfId="0" applyFont="1" applyFill="1" applyAlignment="1">
      <alignment/>
    </xf>
    <xf numFmtId="2" fontId="67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2" fontId="66" fillId="0" borderId="0" xfId="0" applyNumberFormat="1" applyFont="1" applyFill="1" applyBorder="1" applyAlignment="1">
      <alignment vertical="center"/>
    </xf>
    <xf numFmtId="9" fontId="66" fillId="0" borderId="0" xfId="82" applyFont="1" applyFill="1" applyBorder="1" applyAlignment="1">
      <alignment vertical="center"/>
    </xf>
    <xf numFmtId="0" fontId="67" fillId="0" borderId="0" xfId="0" applyFont="1" applyFill="1" applyBorder="1" applyAlignment="1">
      <alignment horizontal="right"/>
    </xf>
    <xf numFmtId="2" fontId="67" fillId="0" borderId="0" xfId="0" applyNumberFormat="1" applyFont="1" applyFill="1" applyBorder="1" applyAlignment="1">
      <alignment vertical="center"/>
    </xf>
    <xf numFmtId="9" fontId="67" fillId="0" borderId="0" xfId="82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2" fontId="67" fillId="0" borderId="0" xfId="0" applyNumberFormat="1" applyFont="1" applyBorder="1" applyAlignment="1">
      <alignment horizontal="center" vertical="top" wrapText="1"/>
    </xf>
    <xf numFmtId="9" fontId="67" fillId="0" borderId="0" xfId="82" applyFont="1" applyBorder="1" applyAlignment="1">
      <alignment horizontal="center" vertical="top" wrapText="1"/>
    </xf>
    <xf numFmtId="0" fontId="69" fillId="0" borderId="0" xfId="0" applyFont="1" applyFill="1" applyBorder="1" applyAlignment="1">
      <alignment horizontal="left"/>
    </xf>
    <xf numFmtId="2" fontId="66" fillId="0" borderId="0" xfId="0" applyNumberFormat="1" applyFont="1" applyAlignment="1">
      <alignment/>
    </xf>
    <xf numFmtId="0" fontId="66" fillId="0" borderId="0" xfId="72" applyFont="1" applyFill="1">
      <alignment/>
      <protection/>
    </xf>
    <xf numFmtId="2" fontId="67" fillId="0" borderId="0" xfId="72" applyNumberFormat="1" applyFont="1" applyFill="1" applyBorder="1" applyAlignment="1">
      <alignment wrapText="1"/>
      <protection/>
    </xf>
    <xf numFmtId="9" fontId="66" fillId="0" borderId="0" xfId="84" applyFont="1" applyFill="1" applyBorder="1" applyAlignment="1">
      <alignment/>
    </xf>
    <xf numFmtId="9" fontId="67" fillId="0" borderId="0" xfId="84" applyFont="1" applyFill="1" applyBorder="1" applyAlignment="1">
      <alignment/>
    </xf>
    <xf numFmtId="0" fontId="66" fillId="37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Alignment="1">
      <alignment/>
    </xf>
    <xf numFmtId="0" fontId="18" fillId="38" borderId="0" xfId="0" applyFont="1" applyFill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2" xfId="82" applyNumberFormat="1" applyFont="1" applyBorder="1" applyAlignment="1">
      <alignment horizontal="center"/>
    </xf>
    <xf numFmtId="9" fontId="0" fillId="0" borderId="18" xfId="82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wrapText="1"/>
    </xf>
    <xf numFmtId="0" fontId="5" fillId="0" borderId="40" xfId="0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40" xfId="82" applyNumberFormat="1" applyFont="1" applyBorder="1" applyAlignment="1">
      <alignment horizontal="center"/>
    </xf>
    <xf numFmtId="9" fontId="0" fillId="0" borderId="20" xfId="82" applyFont="1" applyBorder="1" applyAlignment="1">
      <alignment horizontal="center"/>
    </xf>
    <xf numFmtId="0" fontId="4" fillId="0" borderId="0" xfId="0" applyFont="1" applyAlignment="1">
      <alignment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37" borderId="2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4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wrapText="1"/>
    </xf>
    <xf numFmtId="9" fontId="5" fillId="0" borderId="18" xfId="82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1" fontId="0" fillId="0" borderId="40" xfId="0" applyNumberFormat="1" applyFont="1" applyBorder="1" applyAlignment="1">
      <alignment horizontal="center"/>
    </xf>
    <xf numFmtId="9" fontId="0" fillId="0" borderId="0" xfId="82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34" borderId="29" xfId="0" applyFont="1" applyFill="1" applyBorder="1" applyAlignment="1">
      <alignment horizontal="center" wrapText="1"/>
    </xf>
    <xf numFmtId="2" fontId="5" fillId="34" borderId="29" xfId="82" applyNumberFormat="1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8" xfId="82" applyFont="1" applyBorder="1" applyAlignment="1">
      <alignment horizontal="center" vertical="center" wrapText="1"/>
    </xf>
    <xf numFmtId="2" fontId="5" fillId="0" borderId="0" xfId="82" applyNumberFormat="1" applyFont="1" applyFill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/>
    </xf>
    <xf numFmtId="9" fontId="0" fillId="0" borderId="20" xfId="82" applyFont="1" applyBorder="1" applyAlignment="1">
      <alignment horizontal="center" vertical="center" wrapText="1"/>
    </xf>
    <xf numFmtId="9" fontId="5" fillId="34" borderId="29" xfId="82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9" fontId="0" fillId="0" borderId="33" xfId="82" applyFont="1" applyBorder="1" applyAlignment="1">
      <alignment horizontal="center"/>
    </xf>
    <xf numFmtId="0" fontId="0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9" fontId="0" fillId="34" borderId="27" xfId="82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/>
    </xf>
    <xf numFmtId="1" fontId="5" fillId="34" borderId="40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9" fontId="5" fillId="34" borderId="20" xfId="82" applyFont="1" applyFill="1" applyBorder="1" applyAlignment="1">
      <alignment horizontal="center"/>
    </xf>
    <xf numFmtId="9" fontId="5" fillId="0" borderId="0" xfId="82" applyFont="1" applyAlignment="1">
      <alignment/>
    </xf>
    <xf numFmtId="1" fontId="0" fillId="0" borderId="43" xfId="0" applyNumberFormat="1" applyFont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1" fontId="5" fillId="37" borderId="0" xfId="0" applyNumberFormat="1" applyFont="1" applyFill="1" applyBorder="1" applyAlignment="1">
      <alignment horizontal="right" vertical="center" wrapText="1"/>
    </xf>
    <xf numFmtId="1" fontId="5" fillId="37" borderId="0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9" fontId="5" fillId="0" borderId="0" xfId="82" applyFont="1" applyBorder="1" applyAlignment="1">
      <alignment horizontal="right"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9" fontId="5" fillId="0" borderId="18" xfId="82" applyFont="1" applyBorder="1" applyAlignment="1" quotePrefix="1">
      <alignment horizontal="center"/>
    </xf>
    <xf numFmtId="2" fontId="0" fillId="0" borderId="40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/>
    </xf>
    <xf numFmtId="9" fontId="5" fillId="0" borderId="20" xfId="82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" fillId="37" borderId="48" xfId="0" applyFont="1" applyFill="1" applyBorder="1" applyAlignment="1">
      <alignment horizontal="center" vertical="top" wrapText="1"/>
    </xf>
    <xf numFmtId="0" fontId="5" fillId="37" borderId="46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5" fillId="37" borderId="30" xfId="0" applyFont="1" applyFill="1" applyBorder="1" applyAlignment="1">
      <alignment horizontal="center" vertical="top" wrapText="1"/>
    </xf>
    <xf numFmtId="0" fontId="10" fillId="37" borderId="32" xfId="0" applyFont="1" applyFill="1" applyBorder="1" applyAlignment="1">
      <alignment horizontal="center" vertical="top" wrapText="1"/>
    </xf>
    <xf numFmtId="0" fontId="10" fillId="37" borderId="16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7" borderId="18" xfId="0" applyFont="1" applyFill="1" applyBorder="1" applyAlignment="1">
      <alignment horizontal="center" vertical="top" wrapText="1"/>
    </xf>
    <xf numFmtId="0" fontId="0" fillId="37" borderId="31" xfId="0" applyFont="1" applyFill="1" applyBorder="1" applyAlignment="1">
      <alignment horizontal="center" wrapText="1"/>
    </xf>
    <xf numFmtId="2" fontId="0" fillId="37" borderId="12" xfId="0" applyNumberFormat="1" applyFont="1" applyFill="1" applyBorder="1" applyAlignment="1">
      <alignment horizontal="center"/>
    </xf>
    <xf numFmtId="9" fontId="0" fillId="37" borderId="18" xfId="82" applyFont="1" applyFill="1" applyBorder="1" applyAlignment="1">
      <alignment horizontal="center" wrapText="1"/>
    </xf>
    <xf numFmtId="0" fontId="5" fillId="37" borderId="39" xfId="0" applyFont="1" applyFill="1" applyBorder="1" applyAlignment="1">
      <alignment horizontal="center" wrapText="1"/>
    </xf>
    <xf numFmtId="0" fontId="6" fillId="37" borderId="40" xfId="0" applyFont="1" applyFill="1" applyBorder="1" applyAlignment="1">
      <alignment horizontal="left" vertical="center" wrapText="1"/>
    </xf>
    <xf numFmtId="2" fontId="5" fillId="37" borderId="40" xfId="0" applyNumberFormat="1" applyFont="1" applyFill="1" applyBorder="1" applyAlignment="1">
      <alignment horizontal="center"/>
    </xf>
    <xf numFmtId="9" fontId="5" fillId="37" borderId="20" xfId="82" applyFont="1" applyFill="1" applyBorder="1" applyAlignment="1">
      <alignment horizontal="center" wrapText="1"/>
    </xf>
    <xf numFmtId="9" fontId="0" fillId="0" borderId="0" xfId="82" applyFont="1" applyBorder="1" applyAlignment="1">
      <alignment horizontal="right" wrapText="1"/>
    </xf>
    <xf numFmtId="2" fontId="6" fillId="0" borderId="0" xfId="0" applyNumberFormat="1" applyFont="1" applyFill="1" applyAlignment="1">
      <alignment/>
    </xf>
    <xf numFmtId="0" fontId="0" fillId="37" borderId="39" xfId="0" applyFont="1" applyFill="1" applyBorder="1" applyAlignment="1">
      <alignment horizontal="center" wrapText="1"/>
    </xf>
    <xf numFmtId="9" fontId="5" fillId="0" borderId="0" xfId="82" applyFont="1" applyBorder="1" applyAlignment="1">
      <alignment horizontal="right" wrapText="1"/>
    </xf>
    <xf numFmtId="0" fontId="0" fillId="0" borderId="0" xfId="0" applyFont="1" applyAlignment="1">
      <alignment horizontal="right"/>
    </xf>
    <xf numFmtId="2" fontId="0" fillId="0" borderId="39" xfId="0" applyNumberFormat="1" applyFont="1" applyBorder="1" applyAlignment="1">
      <alignment horizontal="center" vertical="top" wrapText="1"/>
    </xf>
    <xf numFmtId="2" fontId="0" fillId="35" borderId="40" xfId="0" applyNumberFormat="1" applyFont="1" applyFill="1" applyBorder="1" applyAlignment="1">
      <alignment horizontal="center" vertical="top" wrapText="1"/>
    </xf>
    <xf numFmtId="2" fontId="0" fillId="0" borderId="40" xfId="0" applyNumberFormat="1" applyFont="1" applyBorder="1" applyAlignment="1">
      <alignment horizontal="center" vertical="top" wrapText="1"/>
    </xf>
    <xf numFmtId="9" fontId="0" fillId="0" borderId="40" xfId="82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2" applyFont="1" applyBorder="1" applyAlignment="1">
      <alignment horizontal="center" vertical="top" wrapText="1"/>
    </xf>
    <xf numFmtId="9" fontId="0" fillId="0" borderId="18" xfId="82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/>
    </xf>
    <xf numFmtId="181" fontId="0" fillId="37" borderId="12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9" fontId="5" fillId="0" borderId="40" xfId="82" applyFont="1" applyBorder="1" applyAlignment="1">
      <alignment horizontal="center"/>
    </xf>
    <xf numFmtId="0" fontId="6" fillId="37" borderId="0" xfId="0" applyFont="1" applyFill="1" applyAlignment="1">
      <alignment/>
    </xf>
    <xf numFmtId="0" fontId="5" fillId="37" borderId="28" xfId="0" applyFont="1" applyFill="1" applyBorder="1" applyAlignment="1">
      <alignment horizontal="center" vertical="top" wrapText="1"/>
    </xf>
    <xf numFmtId="0" fontId="5" fillId="37" borderId="30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wrapText="1"/>
    </xf>
    <xf numFmtId="2" fontId="0" fillId="37" borderId="29" xfId="0" applyNumberFormat="1" applyFont="1" applyFill="1" applyBorder="1" applyAlignment="1">
      <alignment horizontal="center"/>
    </xf>
    <xf numFmtId="9" fontId="0" fillId="37" borderId="30" xfId="82" applyNumberFormat="1" applyFont="1" applyFill="1" applyBorder="1" applyAlignment="1">
      <alignment horizontal="center" vertical="center" wrapText="1"/>
    </xf>
    <xf numFmtId="9" fontId="0" fillId="37" borderId="18" xfId="82" applyNumberFormat="1" applyFont="1" applyFill="1" applyBorder="1" applyAlignment="1">
      <alignment horizontal="center" vertical="center" wrapText="1"/>
    </xf>
    <xf numFmtId="2" fontId="0" fillId="37" borderId="40" xfId="0" applyNumberFormat="1" applyFont="1" applyFill="1" applyBorder="1" applyAlignment="1">
      <alignment horizontal="center"/>
    </xf>
    <xf numFmtId="9" fontId="0" fillId="37" borderId="20" xfId="82" applyNumberFormat="1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wrapText="1"/>
    </xf>
    <xf numFmtId="0" fontId="6" fillId="37" borderId="53" xfId="0" applyFont="1" applyFill="1" applyBorder="1" applyAlignment="1">
      <alignment horizontal="left" vertical="center" wrapText="1"/>
    </xf>
    <xf numFmtId="2" fontId="5" fillId="37" borderId="53" xfId="0" applyNumberFormat="1" applyFont="1" applyFill="1" applyBorder="1" applyAlignment="1">
      <alignment horizontal="center"/>
    </xf>
    <xf numFmtId="9" fontId="5" fillId="37" borderId="54" xfId="82" applyNumberFormat="1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wrapText="1"/>
    </xf>
    <xf numFmtId="2" fontId="0" fillId="37" borderId="0" xfId="0" applyNumberFormat="1" applyFont="1" applyFill="1" applyBorder="1" applyAlignment="1">
      <alignment/>
    </xf>
    <xf numFmtId="9" fontId="0" fillId="37" borderId="0" xfId="82" applyNumberFormat="1" applyFont="1" applyFill="1" applyBorder="1" applyAlignment="1">
      <alignment horizontal="right" vertical="center" wrapText="1"/>
    </xf>
    <xf numFmtId="0" fontId="5" fillId="34" borderId="29" xfId="72" applyFont="1" applyFill="1" applyBorder="1" applyAlignment="1">
      <alignment horizontal="center" vertical="center" wrapText="1"/>
      <protection/>
    </xf>
    <xf numFmtId="0" fontId="5" fillId="34" borderId="30" xfId="72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2" fontId="10" fillId="34" borderId="18" xfId="0" applyNumberFormat="1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 vertical="top" wrapText="1"/>
    </xf>
    <xf numFmtId="0" fontId="5" fillId="34" borderId="46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9" fontId="0" fillId="0" borderId="18" xfId="82" applyFont="1" applyBorder="1" applyAlignment="1">
      <alignment horizontal="center" wrapText="1"/>
    </xf>
    <xf numFmtId="9" fontId="5" fillId="34" borderId="20" xfId="82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2" fontId="5" fillId="0" borderId="0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center" vertical="top" wrapText="1"/>
    </xf>
    <xf numFmtId="9" fontId="0" fillId="0" borderId="18" xfId="82" applyFont="1" applyFill="1" applyBorder="1" applyAlignment="1">
      <alignment horizontal="center" vertical="center"/>
    </xf>
    <xf numFmtId="9" fontId="5" fillId="34" borderId="20" xfId="82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2" xfId="82" applyFont="1" applyBorder="1" applyAlignment="1">
      <alignment/>
    </xf>
    <xf numFmtId="1" fontId="0" fillId="0" borderId="12" xfId="0" applyNumberFormat="1" applyFont="1" applyBorder="1" applyAlignment="1">
      <alignment/>
    </xf>
    <xf numFmtId="2" fontId="0" fillId="0" borderId="39" xfId="0" applyNumberFormat="1" applyFont="1" applyFill="1" applyBorder="1" applyAlignment="1">
      <alignment horizontal="center" vertical="top" wrapText="1"/>
    </xf>
    <xf numFmtId="2" fontId="0" fillId="35" borderId="12" xfId="0" applyNumberFormat="1" applyFont="1" applyFill="1" applyBorder="1" applyAlignment="1">
      <alignment horizontal="center" wrapText="1"/>
    </xf>
    <xf numFmtId="2" fontId="0" fillId="35" borderId="12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9" fontId="0" fillId="0" borderId="12" xfId="82" applyFont="1" applyBorder="1" applyAlignment="1">
      <alignment horizontal="center"/>
    </xf>
    <xf numFmtId="9" fontId="0" fillId="0" borderId="12" xfId="82" applyFont="1" applyBorder="1" applyAlignment="1" quotePrefix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 vertical="top" wrapText="1"/>
    </xf>
    <xf numFmtId="9" fontId="0" fillId="37" borderId="12" xfId="82" applyNumberFormat="1" applyFont="1" applyFill="1" applyBorder="1" applyAlignment="1">
      <alignment horizontal="center" vertical="center" wrapText="1"/>
    </xf>
    <xf numFmtId="1" fontId="0" fillId="0" borderId="12" xfId="82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9" fontId="5" fillId="37" borderId="12" xfId="82" applyNumberFormat="1" applyFont="1" applyFill="1" applyBorder="1" applyAlignment="1">
      <alignment horizontal="center" vertical="center" wrapText="1"/>
    </xf>
    <xf numFmtId="9" fontId="5" fillId="0" borderId="12" xfId="82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/>
    </xf>
    <xf numFmtId="9" fontId="5" fillId="34" borderId="12" xfId="82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0" borderId="0" xfId="8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72" applyFont="1" applyFill="1">
      <alignment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2" fontId="5" fillId="0" borderId="12" xfId="72" applyNumberFormat="1" applyFont="1" applyFill="1" applyBorder="1" applyAlignment="1">
      <alignment horizontal="center" vertical="center" wrapText="1"/>
      <protection/>
    </xf>
    <xf numFmtId="1" fontId="5" fillId="0" borderId="12" xfId="72" applyNumberFormat="1" applyFont="1" applyFill="1" applyBorder="1" applyAlignment="1">
      <alignment horizontal="center" vertical="center" wrapText="1"/>
      <protection/>
    </xf>
    <xf numFmtId="2" fontId="0" fillId="0" borderId="12" xfId="72" applyNumberFormat="1" applyFont="1" applyFill="1" applyBorder="1" applyAlignment="1">
      <alignment horizontal="center"/>
      <protection/>
    </xf>
    <xf numFmtId="9" fontId="0" fillId="0" borderId="12" xfId="84" applyFont="1" applyFill="1" applyBorder="1" applyAlignment="1">
      <alignment horizontal="center"/>
    </xf>
    <xf numFmtId="0" fontId="6" fillId="0" borderId="12" xfId="72" applyFont="1" applyFill="1" applyBorder="1" applyAlignment="1">
      <alignment horizontal="left" vertical="top" wrapText="1"/>
      <protection/>
    </xf>
    <xf numFmtId="2" fontId="5" fillId="0" borderId="12" xfId="72" applyNumberFormat="1" applyFont="1" applyFill="1" applyBorder="1" applyAlignment="1" applyProtection="1">
      <alignment horizontal="center"/>
      <protection locked="0"/>
    </xf>
    <xf numFmtId="2" fontId="5" fillId="0" borderId="12" xfId="72" applyNumberFormat="1" applyFont="1" applyFill="1" applyBorder="1" applyAlignment="1">
      <alignment horizontal="center"/>
      <protection/>
    </xf>
    <xf numFmtId="9" fontId="5" fillId="0" borderId="12" xfId="84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9" fontId="5" fillId="0" borderId="0" xfId="82" applyFont="1" applyFill="1" applyBorder="1" applyAlignment="1">
      <alignment horizontal="center" vertical="top" wrapText="1"/>
    </xf>
    <xf numFmtId="0" fontId="6" fillId="0" borderId="0" xfId="72" applyFont="1" applyFill="1">
      <alignment/>
      <protection/>
    </xf>
    <xf numFmtId="0" fontId="0" fillId="0" borderId="12" xfId="72" applyFont="1" applyFill="1" applyBorder="1" applyAlignment="1">
      <alignment horizontal="center"/>
      <protection/>
    </xf>
    <xf numFmtId="0" fontId="5" fillId="0" borderId="12" xfId="72" applyFont="1" applyFill="1" applyBorder="1">
      <alignment/>
      <protection/>
    </xf>
    <xf numFmtId="2" fontId="0" fillId="0" borderId="12" xfId="72" applyNumberFormat="1" applyFont="1" applyFill="1" applyBorder="1" applyAlignment="1" applyProtection="1">
      <alignment horizontal="center"/>
      <protection locked="0"/>
    </xf>
    <xf numFmtId="9" fontId="0" fillId="0" borderId="12" xfId="82" applyFont="1" applyFill="1" applyBorder="1" applyAlignment="1">
      <alignment/>
    </xf>
    <xf numFmtId="9" fontId="5" fillId="0" borderId="12" xfId="82" applyFont="1" applyFill="1" applyBorder="1" applyAlignment="1">
      <alignment/>
    </xf>
    <xf numFmtId="2" fontId="6" fillId="0" borderId="0" xfId="79" applyNumberFormat="1" applyFont="1" applyFill="1" applyBorder="1">
      <alignment/>
      <protection/>
    </xf>
    <xf numFmtId="2" fontId="0" fillId="0" borderId="0" xfId="72" applyNumberFormat="1" applyFont="1" applyFill="1">
      <alignment/>
      <protection/>
    </xf>
    <xf numFmtId="2" fontId="7" fillId="0" borderId="12" xfId="61" applyNumberFormat="1" applyFont="1" applyFill="1" applyBorder="1" applyAlignment="1">
      <alignment horizontal="center"/>
      <protection/>
    </xf>
    <xf numFmtId="2" fontId="5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9" fontId="5" fillId="0" borderId="0" xfId="82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5" fillId="37" borderId="12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top"/>
    </xf>
    <xf numFmtId="0" fontId="0" fillId="37" borderId="12" xfId="0" applyFont="1" applyFill="1" applyBorder="1" applyAlignment="1">
      <alignment vertical="top" wrapText="1"/>
    </xf>
    <xf numFmtId="2" fontId="0" fillId="37" borderId="12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9" fontId="5" fillId="37" borderId="12" xfId="82" applyFont="1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0" fillId="37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vertical="center" wrapText="1"/>
    </xf>
    <xf numFmtId="2" fontId="0" fillId="37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 quotePrefix="1">
      <alignment/>
    </xf>
    <xf numFmtId="9" fontId="0" fillId="0" borderId="12" xfId="82" applyFont="1" applyBorder="1" applyAlignment="1" quotePrefix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 quotePrefix="1">
      <alignment/>
    </xf>
    <xf numFmtId="9" fontId="5" fillId="34" borderId="12" xfId="82" applyFont="1" applyFill="1" applyBorder="1" applyAlignment="1">
      <alignment/>
    </xf>
    <xf numFmtId="0" fontId="13" fillId="0" borderId="3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5" fillId="35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center"/>
    </xf>
    <xf numFmtId="0" fontId="5" fillId="34" borderId="12" xfId="0" applyFont="1" applyFill="1" applyBorder="1" applyAlignment="1">
      <alignment horizontal="right"/>
    </xf>
    <xf numFmtId="0" fontId="21" fillId="34" borderId="17" xfId="0" applyFont="1" applyFill="1" applyBorder="1" applyAlignment="1">
      <alignment/>
    </xf>
    <xf numFmtId="2" fontId="21" fillId="34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9" fontId="5" fillId="0" borderId="12" xfId="8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0" fillId="0" borderId="12" xfId="82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37" borderId="12" xfId="0" applyFont="1" applyFill="1" applyBorder="1" applyAlignment="1">
      <alignment/>
    </xf>
    <xf numFmtId="0" fontId="22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right"/>
    </xf>
    <xf numFmtId="0" fontId="5" fillId="37" borderId="55" xfId="0" applyFont="1" applyFill="1" applyBorder="1" applyAlignment="1">
      <alignment horizontal="center"/>
    </xf>
    <xf numFmtId="0" fontId="5" fillId="37" borderId="5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right"/>
    </xf>
    <xf numFmtId="2" fontId="0" fillId="37" borderId="12" xfId="0" applyNumberFormat="1" applyFont="1" applyFill="1" applyBorder="1" applyAlignment="1">
      <alignment horizontal="right"/>
    </xf>
    <xf numFmtId="0" fontId="0" fillId="37" borderId="12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34" borderId="12" xfId="0" applyFont="1" applyFill="1" applyBorder="1" applyAlignment="1">
      <alignment horizontal="center" wrapText="1"/>
    </xf>
    <xf numFmtId="0" fontId="5" fillId="34" borderId="28" xfId="72" applyFont="1" applyFill="1" applyBorder="1" applyAlignment="1">
      <alignment horizontal="center" vertical="center" wrapText="1"/>
      <protection/>
    </xf>
    <xf numFmtId="2" fontId="0" fillId="0" borderId="39" xfId="0" applyNumberFormat="1" applyFont="1" applyBorder="1" applyAlignment="1">
      <alignment/>
    </xf>
    <xf numFmtId="9" fontId="0" fillId="0" borderId="40" xfId="82" applyFont="1" applyBorder="1" applyAlignment="1">
      <alignment/>
    </xf>
    <xf numFmtId="2" fontId="0" fillId="0" borderId="40" xfId="82" applyNumberFormat="1" applyFont="1" applyBorder="1" applyAlignment="1">
      <alignment/>
    </xf>
    <xf numFmtId="9" fontId="0" fillId="0" borderId="20" xfId="82" applyFont="1" applyBorder="1" applyAlignment="1">
      <alignment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10" fillId="34" borderId="55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right"/>
    </xf>
    <xf numFmtId="0" fontId="5" fillId="34" borderId="57" xfId="0" applyFont="1" applyFill="1" applyBorder="1" applyAlignment="1">
      <alignment horizontal="right"/>
    </xf>
    <xf numFmtId="0" fontId="5" fillId="34" borderId="5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3" fillId="37" borderId="1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0" fillId="0" borderId="35" xfId="72" applyFont="1" applyFill="1" applyBorder="1" applyAlignment="1">
      <alignment horizontal="right" wrapText="1"/>
      <protection/>
    </xf>
    <xf numFmtId="0" fontId="5" fillId="37" borderId="12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55" xfId="0" applyFont="1" applyFill="1" applyBorder="1" applyAlignment="1">
      <alignment horizontal="center"/>
    </xf>
    <xf numFmtId="0" fontId="5" fillId="37" borderId="51" xfId="0" applyFont="1" applyFill="1" applyBorder="1" applyAlignment="1">
      <alignment horizontal="center"/>
    </xf>
    <xf numFmtId="0" fontId="5" fillId="37" borderId="55" xfId="0" applyFont="1" applyFill="1" applyBorder="1" applyAlignment="1">
      <alignment horizontal="center" vertical="top" wrapText="1"/>
    </xf>
    <xf numFmtId="0" fontId="5" fillId="37" borderId="5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7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5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9" fontId="5" fillId="37" borderId="16" xfId="82" applyFont="1" applyFill="1" applyBorder="1" applyAlignment="1">
      <alignment horizontal="center" vertical="center"/>
    </xf>
    <xf numFmtId="9" fontId="5" fillId="37" borderId="17" xfId="82" applyFont="1" applyFill="1" applyBorder="1" applyAlignment="1">
      <alignment horizontal="center" vertical="center"/>
    </xf>
    <xf numFmtId="2" fontId="5" fillId="37" borderId="16" xfId="0" applyNumberFormat="1" applyFont="1" applyFill="1" applyBorder="1" applyAlignment="1">
      <alignment horizontal="center" vertical="center"/>
    </xf>
    <xf numFmtId="2" fontId="5" fillId="37" borderId="17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37" borderId="16" xfId="0" applyNumberFormat="1" applyFont="1" applyFill="1" applyBorder="1" applyAlignment="1">
      <alignment horizontal="center" vertical="center"/>
    </xf>
    <xf numFmtId="2" fontId="0" fillId="37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2 2" xfId="64"/>
    <cellStyle name="Normal 2 2 3" xfId="65"/>
    <cellStyle name="Normal 2 2 4" xfId="66"/>
    <cellStyle name="Normal 2 2 5" xfId="67"/>
    <cellStyle name="Normal 2 3" xfId="68"/>
    <cellStyle name="Normal 2 3 2" xfId="69"/>
    <cellStyle name="Normal 2 4" xfId="70"/>
    <cellStyle name="Normal 2 5" xfId="71"/>
    <cellStyle name="Normal 3" xfId="72"/>
    <cellStyle name="Normal 3 2" xfId="73"/>
    <cellStyle name="Normal 4" xfId="74"/>
    <cellStyle name="Normal 5" xfId="75"/>
    <cellStyle name="Normal 5 2" xfId="76"/>
    <cellStyle name="Normal 7" xfId="77"/>
    <cellStyle name="Normal 8" xfId="78"/>
    <cellStyle name="Normal_calculation -utt" xfId="79"/>
    <cellStyle name="Note" xfId="80"/>
    <cellStyle name="Output" xfId="81"/>
    <cellStyle name="Percent" xfId="82"/>
    <cellStyle name="Percent 2" xfId="83"/>
    <cellStyle name="Percent 2 2" xfId="84"/>
    <cellStyle name="Percent 3" xfId="85"/>
    <cellStyle name="Percent 4" xfId="86"/>
    <cellStyle name="Percent 5" xfId="87"/>
    <cellStyle name="Percent 6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198</xdr:row>
      <xdr:rowOff>9525</xdr:rowOff>
    </xdr:from>
    <xdr:to>
      <xdr:col>6</xdr:col>
      <xdr:colOff>552450</xdr:colOff>
      <xdr:row>198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991100" y="43481625"/>
          <a:ext cx="169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742950</xdr:colOff>
      <xdr:row>198</xdr:row>
      <xdr:rowOff>9525</xdr:rowOff>
    </xdr:from>
    <xdr:to>
      <xdr:col>5</xdr:col>
      <xdr:colOff>257175</xdr:colOff>
      <xdr:row>198</xdr:row>
      <xdr:rowOff>9525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781550" y="434816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6"/>
  <sheetViews>
    <sheetView tabSelected="1" view="pageBreakPreview" zoomScaleNormal="85" zoomScaleSheetLayoutView="100" zoomScalePageLayoutView="0" workbookViewId="0" topLeftCell="A507">
      <selection activeCell="H525" sqref="H525"/>
    </sheetView>
  </sheetViews>
  <sheetFormatPr defaultColWidth="9.140625" defaultRowHeight="12.75"/>
  <cols>
    <col min="1" max="1" width="11.8515625" style="4" customWidth="1"/>
    <col min="2" max="2" width="14.7109375" style="4" customWidth="1"/>
    <col min="3" max="3" width="16.421875" style="4" customWidth="1"/>
    <col min="4" max="4" width="17.57421875" style="4" customWidth="1"/>
    <col min="5" max="5" width="13.7109375" style="4" customWidth="1"/>
    <col min="6" max="6" width="17.7109375" style="4" customWidth="1"/>
    <col min="7" max="7" width="16.00390625" style="4" customWidth="1"/>
    <col min="8" max="8" width="15.8515625" style="4" customWidth="1"/>
    <col min="9" max="9" width="9.8515625" style="4" bestFit="1" customWidth="1"/>
    <col min="10" max="10" width="15.7109375" style="4" customWidth="1"/>
    <col min="11" max="11" width="14.28125" style="4" customWidth="1"/>
    <col min="12" max="12" width="12.140625" style="4" customWidth="1"/>
    <col min="13" max="13" width="10.421875" style="4" customWidth="1"/>
    <col min="14" max="14" width="11.140625" style="4" customWidth="1"/>
    <col min="15" max="15" width="12.7109375" style="4" customWidth="1"/>
    <col min="16" max="16" width="11.7109375" style="4" customWidth="1"/>
    <col min="17" max="17" width="10.140625" style="4" customWidth="1"/>
    <col min="18" max="16384" width="9.140625" style="4" customWidth="1"/>
  </cols>
  <sheetData>
    <row r="1" spans="1:8" ht="15">
      <c r="A1" s="623" t="s">
        <v>54</v>
      </c>
      <c r="B1" s="624"/>
      <c r="C1" s="624"/>
      <c r="D1" s="624"/>
      <c r="E1" s="624"/>
      <c r="F1" s="624"/>
      <c r="G1" s="624"/>
      <c r="H1" s="625"/>
    </row>
    <row r="2" spans="1:8" ht="15">
      <c r="A2" s="626" t="s">
        <v>14</v>
      </c>
      <c r="B2" s="627"/>
      <c r="C2" s="627"/>
      <c r="D2" s="627"/>
      <c r="E2" s="627"/>
      <c r="F2" s="627"/>
      <c r="G2" s="627"/>
      <c r="H2" s="628"/>
    </row>
    <row r="3" spans="1:8" ht="15">
      <c r="A3" s="626" t="s">
        <v>256</v>
      </c>
      <c r="B3" s="627"/>
      <c r="C3" s="627"/>
      <c r="D3" s="627"/>
      <c r="E3" s="627"/>
      <c r="F3" s="627"/>
      <c r="G3" s="627"/>
      <c r="H3" s="628"/>
    </row>
    <row r="4" spans="1:8" ht="5.25" customHeight="1">
      <c r="A4" s="230"/>
      <c r="B4" s="231"/>
      <c r="C4" s="231"/>
      <c r="D4" s="231"/>
      <c r="E4" s="231"/>
      <c r="F4" s="231"/>
      <c r="G4" s="232"/>
      <c r="H4" s="233"/>
    </row>
    <row r="5" spans="1:8" ht="15">
      <c r="A5" s="629" t="s">
        <v>132</v>
      </c>
      <c r="B5" s="630"/>
      <c r="C5" s="630"/>
      <c r="D5" s="630"/>
      <c r="E5" s="630"/>
      <c r="F5" s="630"/>
      <c r="G5" s="630"/>
      <c r="H5" s="631"/>
    </row>
    <row r="6" spans="1:8" ht="5.25" customHeight="1">
      <c r="A6" s="14"/>
      <c r="B6" s="14"/>
      <c r="C6" s="14"/>
      <c r="D6" s="14"/>
      <c r="E6" s="14"/>
      <c r="F6" s="14"/>
      <c r="G6" s="234"/>
      <c r="H6" s="234"/>
    </row>
    <row r="7" spans="1:8" ht="15">
      <c r="A7" s="609" t="s">
        <v>243</v>
      </c>
      <c r="B7" s="609"/>
      <c r="C7" s="609"/>
      <c r="D7" s="609"/>
      <c r="E7" s="609"/>
      <c r="F7" s="609"/>
      <c r="G7" s="609"/>
      <c r="H7" s="609"/>
    </row>
    <row r="8" spans="1:8" ht="4.5" customHeight="1">
      <c r="A8" s="234"/>
      <c r="B8" s="234"/>
      <c r="C8" s="234"/>
      <c r="D8" s="234"/>
      <c r="E8" s="234"/>
      <c r="F8" s="234"/>
      <c r="G8" s="234"/>
      <c r="H8" s="234"/>
    </row>
    <row r="9" spans="1:8" ht="15">
      <c r="A9" s="610" t="s">
        <v>300</v>
      </c>
      <c r="B9" s="610"/>
      <c r="C9" s="610"/>
      <c r="D9" s="610"/>
      <c r="E9" s="610"/>
      <c r="F9" s="610"/>
      <c r="G9" s="610"/>
      <c r="H9" s="610"/>
    </row>
    <row r="10" ht="12.75" customHeight="1"/>
    <row r="11" spans="1:8" s="15" customFormat="1" ht="15.75">
      <c r="A11" s="235" t="s">
        <v>155</v>
      </c>
      <c r="B11" s="235"/>
      <c r="C11" s="235"/>
      <c r="D11" s="235"/>
      <c r="E11" s="236"/>
      <c r="F11" s="236"/>
      <c r="G11" s="236"/>
      <c r="H11" s="236"/>
    </row>
    <row r="12" spans="1:8" ht="12.75">
      <c r="A12" s="16"/>
      <c r="B12" s="16"/>
      <c r="C12" s="16"/>
      <c r="D12" s="16"/>
      <c r="E12" s="16"/>
      <c r="F12" s="16"/>
      <c r="G12" s="16"/>
      <c r="H12" s="183"/>
    </row>
    <row r="13" spans="1:8" ht="17.25" customHeight="1" thickBot="1">
      <c r="A13" s="237" t="s">
        <v>174</v>
      </c>
      <c r="B13" s="237"/>
      <c r="C13" s="238"/>
      <c r="D13" s="239"/>
      <c r="E13" s="239"/>
      <c r="F13" s="16"/>
      <c r="G13" s="16"/>
      <c r="H13" s="16"/>
    </row>
    <row r="14" spans="1:8" ht="80.25" customHeight="1" thickBot="1">
      <c r="A14" s="240" t="s">
        <v>145</v>
      </c>
      <c r="B14" s="240" t="s">
        <v>89</v>
      </c>
      <c r="C14" s="241" t="s">
        <v>271</v>
      </c>
      <c r="D14" s="241" t="s">
        <v>301</v>
      </c>
      <c r="E14" s="240" t="s">
        <v>149</v>
      </c>
      <c r="F14" s="242" t="s">
        <v>178</v>
      </c>
      <c r="G14" s="16"/>
      <c r="H14" s="16"/>
    </row>
    <row r="15" spans="1:8" s="18" customFormat="1" ht="14.25" customHeight="1">
      <c r="A15" s="243">
        <v>1</v>
      </c>
      <c r="B15" s="244">
        <v>2</v>
      </c>
      <c r="C15" s="245">
        <v>3</v>
      </c>
      <c r="D15" s="244">
        <v>4</v>
      </c>
      <c r="E15" s="246" t="s">
        <v>150</v>
      </c>
      <c r="F15" s="247">
        <v>6</v>
      </c>
      <c r="G15" s="17"/>
      <c r="H15" s="17"/>
    </row>
    <row r="16" spans="1:8" ht="12.75">
      <c r="A16" s="248">
        <v>1</v>
      </c>
      <c r="B16" s="249" t="s">
        <v>17</v>
      </c>
      <c r="C16" s="250">
        <v>97070</v>
      </c>
      <c r="D16" s="251">
        <v>92053</v>
      </c>
      <c r="E16" s="252">
        <f>D16-C16</f>
        <v>-5017</v>
      </c>
      <c r="F16" s="253">
        <f>E16/C16</f>
        <v>-0.051684351498918306</v>
      </c>
      <c r="G16" s="19"/>
      <c r="H16" s="16"/>
    </row>
    <row r="17" spans="1:8" ht="12.75">
      <c r="A17" s="248">
        <v>2</v>
      </c>
      <c r="B17" s="249" t="s">
        <v>90</v>
      </c>
      <c r="C17" s="229">
        <v>42189</v>
      </c>
      <c r="D17" s="254">
        <v>41230</v>
      </c>
      <c r="E17" s="252">
        <f>D17-C17</f>
        <v>-959</v>
      </c>
      <c r="F17" s="253">
        <f>E17/C17</f>
        <v>-0.022731043636966982</v>
      </c>
      <c r="G17" s="16"/>
      <c r="H17" s="16"/>
    </row>
    <row r="18" spans="1:6" ht="13.5" thickBot="1">
      <c r="A18" s="255"/>
      <c r="B18" s="256" t="s">
        <v>3</v>
      </c>
      <c r="C18" s="257">
        <f>SUM(C15:C17)</f>
        <v>139262</v>
      </c>
      <c r="D18" s="258">
        <f>SUM(D15:D17)</f>
        <v>133287</v>
      </c>
      <c r="E18" s="259">
        <f>D18-C18</f>
        <v>-5975</v>
      </c>
      <c r="F18" s="260">
        <f>E18/C18</f>
        <v>-0.04290474070457124</v>
      </c>
    </row>
    <row r="19" spans="5:7" ht="21" customHeight="1">
      <c r="E19" s="194"/>
      <c r="F19" s="194"/>
      <c r="G19" s="194"/>
    </row>
    <row r="20" spans="1:4" ht="20.25" customHeight="1" thickBot="1">
      <c r="A20" s="261" t="s">
        <v>272</v>
      </c>
      <c r="B20" s="261"/>
      <c r="C20" s="261"/>
      <c r="D20" s="13"/>
    </row>
    <row r="21" spans="1:3" ht="42.75" customHeight="1">
      <c r="A21" s="262" t="s">
        <v>145</v>
      </c>
      <c r="B21" s="263" t="s">
        <v>146</v>
      </c>
      <c r="C21" s="264" t="s">
        <v>273</v>
      </c>
    </row>
    <row r="22" spans="1:3" ht="20.25" customHeight="1">
      <c r="A22" s="265">
        <v>1</v>
      </c>
      <c r="B22" s="266" t="s">
        <v>111</v>
      </c>
      <c r="C22" s="267">
        <v>215</v>
      </c>
    </row>
    <row r="23" spans="1:3" ht="20.25" customHeight="1" thickBot="1">
      <c r="A23" s="268">
        <v>2</v>
      </c>
      <c r="B23" s="269" t="s">
        <v>147</v>
      </c>
      <c r="C23" s="270">
        <v>220</v>
      </c>
    </row>
    <row r="24" ht="20.25" customHeight="1"/>
    <row r="25" spans="1:6" ht="15.75" customHeight="1" thickBot="1">
      <c r="A25" s="271" t="s">
        <v>302</v>
      </c>
      <c r="B25" s="271"/>
      <c r="C25" s="271"/>
      <c r="D25" s="271"/>
      <c r="E25" s="19"/>
      <c r="F25" s="19"/>
    </row>
    <row r="26" spans="1:9" ht="43.5" customHeight="1">
      <c r="A26" s="262" t="s">
        <v>145</v>
      </c>
      <c r="B26" s="263" t="s">
        <v>146</v>
      </c>
      <c r="C26" s="263" t="s">
        <v>303</v>
      </c>
      <c r="D26" s="263" t="s">
        <v>148</v>
      </c>
      <c r="E26" s="272" t="s">
        <v>149</v>
      </c>
      <c r="I26" s="188"/>
    </row>
    <row r="27" spans="1:5" ht="15" customHeight="1">
      <c r="A27" s="273">
        <v>1</v>
      </c>
      <c r="B27" s="266" t="s">
        <v>111</v>
      </c>
      <c r="C27" s="20">
        <v>215</v>
      </c>
      <c r="D27" s="20">
        <v>204</v>
      </c>
      <c r="E27" s="274">
        <v>-0.11</v>
      </c>
    </row>
    <row r="28" spans="1:7" ht="15" customHeight="1" thickBot="1">
      <c r="A28" s="275">
        <v>2</v>
      </c>
      <c r="B28" s="269" t="s">
        <v>147</v>
      </c>
      <c r="C28" s="276">
        <v>220</v>
      </c>
      <c r="D28" s="276">
        <v>209</v>
      </c>
      <c r="E28" s="274">
        <v>-0.11</v>
      </c>
      <c r="G28" s="4" t="s">
        <v>107</v>
      </c>
    </row>
    <row r="29" spans="1:5" ht="12.75" customHeight="1">
      <c r="A29" s="21"/>
      <c r="B29" s="22"/>
      <c r="C29" s="22"/>
      <c r="D29" s="238"/>
      <c r="E29" s="277"/>
    </row>
    <row r="30" spans="1:5" ht="15" customHeight="1">
      <c r="A30" s="612" t="s">
        <v>156</v>
      </c>
      <c r="B30" s="612"/>
      <c r="C30" s="612"/>
      <c r="D30" s="612"/>
      <c r="E30" s="277"/>
    </row>
    <row r="31" spans="1:5" ht="16.5" customHeight="1" thickBot="1">
      <c r="A31" s="606" t="s">
        <v>304</v>
      </c>
      <c r="B31" s="606"/>
      <c r="C31" s="606"/>
      <c r="D31" s="606"/>
      <c r="E31" s="277"/>
    </row>
    <row r="32" spans="1:7" ht="55.5" customHeight="1">
      <c r="A32" s="263" t="s">
        <v>151</v>
      </c>
      <c r="B32" s="263" t="s">
        <v>89</v>
      </c>
      <c r="C32" s="263" t="s">
        <v>85</v>
      </c>
      <c r="D32" s="279" t="s">
        <v>86</v>
      </c>
      <c r="E32" s="280" t="s">
        <v>149</v>
      </c>
      <c r="F32" s="281" t="s">
        <v>84</v>
      </c>
      <c r="G32" s="4" t="s">
        <v>107</v>
      </c>
    </row>
    <row r="33" spans="1:7" ht="12.75">
      <c r="A33" s="273">
        <v>1</v>
      </c>
      <c r="B33" s="249" t="s">
        <v>101</v>
      </c>
      <c r="C33" s="20">
        <v>20870050</v>
      </c>
      <c r="D33" s="20">
        <v>18778815</v>
      </c>
      <c r="E33" s="252">
        <f>D33-C33</f>
        <v>-2091235</v>
      </c>
      <c r="F33" s="253">
        <f>E33/C33</f>
        <v>-0.10020268279184764</v>
      </c>
      <c r="G33" s="4" t="s">
        <v>107</v>
      </c>
    </row>
    <row r="34" spans="1:6" ht="12.75">
      <c r="A34" s="273">
        <v>2</v>
      </c>
      <c r="B34" s="249" t="s">
        <v>102</v>
      </c>
      <c r="C34" s="20">
        <v>9281580</v>
      </c>
      <c r="D34" s="20">
        <v>8616975</v>
      </c>
      <c r="E34" s="252">
        <f>D34-C34</f>
        <v>-664605</v>
      </c>
      <c r="F34" s="253">
        <f>E34/C34</f>
        <v>-0.07160472678143161</v>
      </c>
    </row>
    <row r="35" spans="1:6" ht="27.75" customHeight="1" thickBot="1">
      <c r="A35" s="268">
        <v>3</v>
      </c>
      <c r="B35" s="256" t="s">
        <v>103</v>
      </c>
      <c r="C35" s="258">
        <f>SUM(C33:C34)</f>
        <v>30151630</v>
      </c>
      <c r="D35" s="258">
        <f>SUM(D33:D34)</f>
        <v>27395790</v>
      </c>
      <c r="E35" s="259">
        <f>D35-C35</f>
        <v>-2755840</v>
      </c>
      <c r="F35" s="260">
        <f>E35/C35</f>
        <v>-0.09139937044862914</v>
      </c>
    </row>
    <row r="36" spans="1:5" ht="9.75" customHeight="1">
      <c r="A36" s="278"/>
      <c r="B36" s="278"/>
      <c r="C36" s="278"/>
      <c r="D36" s="278"/>
      <c r="E36" s="277"/>
    </row>
    <row r="37" spans="1:6" ht="21" customHeight="1" thickBot="1">
      <c r="A37" s="606" t="s">
        <v>306</v>
      </c>
      <c r="B37" s="606"/>
      <c r="C37" s="606"/>
      <c r="D37" s="606"/>
      <c r="E37" s="606"/>
      <c r="F37" s="606"/>
    </row>
    <row r="38" spans="1:6" ht="66" customHeight="1">
      <c r="A38" s="282" t="s">
        <v>151</v>
      </c>
      <c r="B38" s="263" t="s">
        <v>89</v>
      </c>
      <c r="C38" s="263" t="s">
        <v>305</v>
      </c>
      <c r="D38" s="283" t="s">
        <v>307</v>
      </c>
      <c r="E38" s="264" t="s">
        <v>88</v>
      </c>
      <c r="F38" s="22"/>
    </row>
    <row r="39" spans="1:6" ht="21" customHeight="1">
      <c r="A39" s="265">
        <v>1</v>
      </c>
      <c r="B39" s="284" t="s">
        <v>104</v>
      </c>
      <c r="C39" s="284">
        <f>C16*215</f>
        <v>20870050</v>
      </c>
      <c r="D39" s="20">
        <f>D33</f>
        <v>18778815</v>
      </c>
      <c r="E39" s="285">
        <f>D39/C39</f>
        <v>0.8997973172081524</v>
      </c>
      <c r="F39" s="286"/>
    </row>
    <row r="40" spans="1:6" ht="21" customHeight="1">
      <c r="A40" s="265">
        <v>2</v>
      </c>
      <c r="B40" s="284" t="s">
        <v>105</v>
      </c>
      <c r="C40" s="284">
        <f>C17*220</f>
        <v>9281580</v>
      </c>
      <c r="D40" s="20">
        <f>D34</f>
        <v>8616975</v>
      </c>
      <c r="E40" s="285">
        <f>D40/C40</f>
        <v>0.9283952732185684</v>
      </c>
      <c r="F40" s="286"/>
    </row>
    <row r="41" spans="1:7" ht="18" customHeight="1" thickBot="1">
      <c r="A41" s="268">
        <v>3</v>
      </c>
      <c r="B41" s="256" t="s">
        <v>87</v>
      </c>
      <c r="C41" s="257">
        <f>SUM(C39:C40)</f>
        <v>30151630</v>
      </c>
      <c r="D41" s="287">
        <f>SUM(D39:D40)</f>
        <v>27395790</v>
      </c>
      <c r="E41" s="288">
        <f>D41/C41</f>
        <v>0.9086006295513709</v>
      </c>
      <c r="F41" s="23"/>
      <c r="G41" s="24"/>
    </row>
    <row r="42" spans="2:7" ht="18" customHeight="1">
      <c r="B42" s="21"/>
      <c r="C42" s="25"/>
      <c r="D42" s="26"/>
      <c r="E42" s="27"/>
      <c r="F42" s="23"/>
      <c r="G42" s="24"/>
    </row>
    <row r="43" spans="2:7" ht="18" customHeight="1">
      <c r="B43" s="28"/>
      <c r="C43" s="29"/>
      <c r="D43" s="26"/>
      <c r="E43" s="27"/>
      <c r="F43" s="23"/>
      <c r="G43" s="24"/>
    </row>
    <row r="44" spans="1:7" ht="18" customHeight="1">
      <c r="A44" s="585" t="s">
        <v>181</v>
      </c>
      <c r="B44" s="585"/>
      <c r="C44" s="585"/>
      <c r="D44" s="585"/>
      <c r="E44" s="30"/>
      <c r="G44" s="24"/>
    </row>
    <row r="45" spans="1:7" ht="18" customHeight="1">
      <c r="A45" s="278"/>
      <c r="B45" s="278"/>
      <c r="C45" s="278"/>
      <c r="D45" s="31"/>
      <c r="E45" s="30"/>
      <c r="G45" s="24"/>
    </row>
    <row r="46" spans="1:7" ht="18" customHeight="1">
      <c r="A46" s="607" t="s">
        <v>157</v>
      </c>
      <c r="B46" s="607"/>
      <c r="C46" s="607"/>
      <c r="D46" s="607"/>
      <c r="E46" s="30"/>
      <c r="G46" s="24"/>
    </row>
    <row r="47" spans="1:12" ht="18" customHeight="1" thickBot="1">
      <c r="A47" s="581" t="s">
        <v>257</v>
      </c>
      <c r="B47" s="581"/>
      <c r="C47" s="581"/>
      <c r="D47" s="581"/>
      <c r="E47" s="581"/>
      <c r="F47" s="581"/>
      <c r="G47" s="581"/>
      <c r="H47" s="581"/>
      <c r="I47" s="19"/>
      <c r="J47" s="557"/>
      <c r="K47" s="557"/>
      <c r="L47" s="557"/>
    </row>
    <row r="48" spans="1:16" ht="43.5" customHeight="1">
      <c r="A48" s="262" t="s">
        <v>32</v>
      </c>
      <c r="B48" s="263" t="s">
        <v>92</v>
      </c>
      <c r="C48" s="263" t="s">
        <v>176</v>
      </c>
      <c r="D48" s="263" t="s">
        <v>93</v>
      </c>
      <c r="E48" s="289" t="s">
        <v>94</v>
      </c>
      <c r="F48" s="264" t="s">
        <v>95</v>
      </c>
      <c r="G48" s="24"/>
      <c r="I48" s="4" t="s">
        <v>224</v>
      </c>
      <c r="J48" s="34" t="s">
        <v>203</v>
      </c>
      <c r="K48" s="34" t="s">
        <v>223</v>
      </c>
      <c r="L48" s="34" t="s">
        <v>3</v>
      </c>
      <c r="M48" s="143" t="s">
        <v>225</v>
      </c>
      <c r="N48" s="34" t="s">
        <v>203</v>
      </c>
      <c r="O48" s="34" t="s">
        <v>223</v>
      </c>
      <c r="P48" s="34" t="s">
        <v>3</v>
      </c>
    </row>
    <row r="49" spans="1:7" s="33" customFormat="1" ht="12.75" customHeight="1">
      <c r="A49" s="290">
        <v>1</v>
      </c>
      <c r="B49" s="291">
        <v>2</v>
      </c>
      <c r="C49" s="291">
        <v>3</v>
      </c>
      <c r="D49" s="291">
        <v>4</v>
      </c>
      <c r="E49" s="291" t="s">
        <v>97</v>
      </c>
      <c r="F49" s="292">
        <v>6</v>
      </c>
      <c r="G49" s="32"/>
    </row>
    <row r="50" spans="1:16" ht="12.75" customHeight="1">
      <c r="A50" s="273">
        <v>1</v>
      </c>
      <c r="B50" s="293" t="s">
        <v>133</v>
      </c>
      <c r="C50" s="294">
        <v>282</v>
      </c>
      <c r="D50" s="34">
        <v>282</v>
      </c>
      <c r="E50" s="34">
        <f>D50-C50</f>
        <v>0</v>
      </c>
      <c r="F50" s="253">
        <f aca="true" t="shared" si="0" ref="F50:F57">E50/C50</f>
        <v>0</v>
      </c>
      <c r="G50" s="24"/>
      <c r="J50" s="34"/>
      <c r="K50" s="34"/>
      <c r="L50" s="34">
        <f>SUM(J50:K50)</f>
        <v>0</v>
      </c>
      <c r="N50" s="34"/>
      <c r="O50" s="34"/>
      <c r="P50" s="34">
        <f>SUM(N50:O50)</f>
        <v>0</v>
      </c>
    </row>
    <row r="51" spans="1:16" ht="12.75" customHeight="1">
      <c r="A51" s="273">
        <v>2</v>
      </c>
      <c r="B51" s="293" t="s">
        <v>134</v>
      </c>
      <c r="C51" s="294">
        <v>134</v>
      </c>
      <c r="D51" s="34">
        <v>134</v>
      </c>
      <c r="E51" s="34">
        <f aca="true" t="shared" si="1" ref="E51:E57">D51-C51</f>
        <v>0</v>
      </c>
      <c r="F51" s="253">
        <f t="shared" si="0"/>
        <v>0</v>
      </c>
      <c r="G51" s="24"/>
      <c r="J51" s="34"/>
      <c r="K51" s="34"/>
      <c r="L51" s="34">
        <f aca="true" t="shared" si="2" ref="L51:L57">SUM(J51:K51)</f>
        <v>0</v>
      </c>
      <c r="N51" s="34"/>
      <c r="O51" s="34"/>
      <c r="P51" s="34">
        <f aca="true" t="shared" si="3" ref="P51:P57">SUM(N51:O51)</f>
        <v>0</v>
      </c>
    </row>
    <row r="52" spans="1:16" ht="12.75" customHeight="1">
      <c r="A52" s="273">
        <v>3</v>
      </c>
      <c r="B52" s="293" t="s">
        <v>135</v>
      </c>
      <c r="C52" s="294">
        <v>96</v>
      </c>
      <c r="D52" s="34">
        <v>96</v>
      </c>
      <c r="E52" s="34">
        <f t="shared" si="1"/>
        <v>0</v>
      </c>
      <c r="F52" s="253">
        <f t="shared" si="0"/>
        <v>0</v>
      </c>
      <c r="G52" s="24"/>
      <c r="J52" s="34"/>
      <c r="K52" s="34"/>
      <c r="L52" s="34">
        <f t="shared" si="2"/>
        <v>0</v>
      </c>
      <c r="N52" s="34"/>
      <c r="O52" s="34"/>
      <c r="P52" s="34">
        <f t="shared" si="3"/>
        <v>0</v>
      </c>
    </row>
    <row r="53" spans="1:16" ht="12.75" customHeight="1">
      <c r="A53" s="273">
        <v>4</v>
      </c>
      <c r="B53" s="293" t="s">
        <v>136</v>
      </c>
      <c r="C53" s="294">
        <v>253</v>
      </c>
      <c r="D53" s="34">
        <v>253</v>
      </c>
      <c r="E53" s="34">
        <f t="shared" si="1"/>
        <v>0</v>
      </c>
      <c r="F53" s="253">
        <f t="shared" si="0"/>
        <v>0</v>
      </c>
      <c r="G53" s="24"/>
      <c r="J53" s="34"/>
      <c r="K53" s="34"/>
      <c r="L53" s="34">
        <f t="shared" si="2"/>
        <v>0</v>
      </c>
      <c r="N53" s="34"/>
      <c r="O53" s="34"/>
      <c r="P53" s="34">
        <f t="shared" si="3"/>
        <v>0</v>
      </c>
    </row>
    <row r="54" spans="1:16" ht="12.75" customHeight="1">
      <c r="A54" s="273">
        <v>5</v>
      </c>
      <c r="B54" s="293" t="s">
        <v>137</v>
      </c>
      <c r="C54" s="294">
        <v>326</v>
      </c>
      <c r="D54" s="34">
        <v>326</v>
      </c>
      <c r="E54" s="34">
        <f t="shared" si="1"/>
        <v>0</v>
      </c>
      <c r="F54" s="253">
        <f t="shared" si="0"/>
        <v>0</v>
      </c>
      <c r="G54" s="24"/>
      <c r="J54" s="34"/>
      <c r="K54" s="34"/>
      <c r="L54" s="34">
        <f t="shared" si="2"/>
        <v>0</v>
      </c>
      <c r="N54" s="34"/>
      <c r="O54" s="34"/>
      <c r="P54" s="34">
        <f t="shared" si="3"/>
        <v>0</v>
      </c>
    </row>
    <row r="55" spans="1:16" ht="12.75" customHeight="1">
      <c r="A55" s="273">
        <v>6</v>
      </c>
      <c r="B55" s="293" t="s">
        <v>138</v>
      </c>
      <c r="C55" s="294">
        <v>157</v>
      </c>
      <c r="D55" s="34">
        <v>157</v>
      </c>
      <c r="E55" s="34">
        <f t="shared" si="1"/>
        <v>0</v>
      </c>
      <c r="F55" s="253">
        <f t="shared" si="0"/>
        <v>0</v>
      </c>
      <c r="G55" s="24"/>
      <c r="J55" s="34"/>
      <c r="K55" s="34"/>
      <c r="L55" s="34">
        <f t="shared" si="2"/>
        <v>0</v>
      </c>
      <c r="N55" s="34"/>
      <c r="O55" s="34"/>
      <c r="P55" s="34">
        <f t="shared" si="3"/>
        <v>0</v>
      </c>
    </row>
    <row r="56" spans="1:16" ht="12.75" customHeight="1">
      <c r="A56" s="273">
        <v>7</v>
      </c>
      <c r="B56" s="293" t="s">
        <v>139</v>
      </c>
      <c r="C56" s="294">
        <v>118</v>
      </c>
      <c r="D56" s="34">
        <v>118</v>
      </c>
      <c r="E56" s="34">
        <f t="shared" si="1"/>
        <v>0</v>
      </c>
      <c r="F56" s="253">
        <f t="shared" si="0"/>
        <v>0</v>
      </c>
      <c r="G56" s="24"/>
      <c r="J56" s="34"/>
      <c r="K56" s="34"/>
      <c r="L56" s="34">
        <f t="shared" si="2"/>
        <v>0</v>
      </c>
      <c r="N56" s="34"/>
      <c r="O56" s="34"/>
      <c r="P56" s="34">
        <f t="shared" si="3"/>
        <v>0</v>
      </c>
    </row>
    <row r="57" spans="1:16" ht="12.75" customHeight="1" thickBot="1">
      <c r="A57" s="273">
        <v>8</v>
      </c>
      <c r="B57" s="293" t="s">
        <v>140</v>
      </c>
      <c r="C57" s="294">
        <v>75</v>
      </c>
      <c r="D57" s="34">
        <v>75</v>
      </c>
      <c r="E57" s="34">
        <f t="shared" si="1"/>
        <v>0</v>
      </c>
      <c r="F57" s="253">
        <f t="shared" si="0"/>
        <v>0</v>
      </c>
      <c r="G57" s="24"/>
      <c r="J57" s="37"/>
      <c r="K57" s="37"/>
      <c r="L57" s="37">
        <f t="shared" si="2"/>
        <v>0</v>
      </c>
      <c r="N57" s="37"/>
      <c r="O57" s="37"/>
      <c r="P57" s="37">
        <f t="shared" si="3"/>
        <v>0</v>
      </c>
    </row>
    <row r="58" spans="1:16" ht="18.75" customHeight="1" thickBot="1">
      <c r="A58" s="275"/>
      <c r="B58" s="295" t="s">
        <v>56</v>
      </c>
      <c r="C58" s="296">
        <v>1441</v>
      </c>
      <c r="D58" s="296">
        <v>1441</v>
      </c>
      <c r="E58" s="296">
        <f>SUM(E50:E57)</f>
        <v>0</v>
      </c>
      <c r="F58" s="297">
        <f>SUM(F50:F57)</f>
        <v>0</v>
      </c>
      <c r="G58" s="24"/>
      <c r="J58" s="140">
        <f>SUM(J50:J57)</f>
        <v>0</v>
      </c>
      <c r="K58" s="141">
        <f>SUM(K50:K57)</f>
        <v>0</v>
      </c>
      <c r="L58" s="142">
        <f>SUM(L50:L57)</f>
        <v>0</v>
      </c>
      <c r="N58" s="140">
        <f>SUM(N50:N57)</f>
        <v>0</v>
      </c>
      <c r="O58" s="141">
        <f>SUM(O50:O57)</f>
        <v>0</v>
      </c>
      <c r="P58" s="142">
        <f>SUM(P50:P57)</f>
        <v>0</v>
      </c>
    </row>
    <row r="59" spans="1:7" ht="12.75" customHeight="1">
      <c r="A59" s="21"/>
      <c r="B59" s="25"/>
      <c r="C59" s="35"/>
      <c r="D59" s="35"/>
      <c r="E59" s="35"/>
      <c r="F59" s="36"/>
      <c r="G59" s="24"/>
    </row>
    <row r="60" spans="1:8" ht="12" customHeight="1">
      <c r="A60" s="606" t="s">
        <v>258</v>
      </c>
      <c r="B60" s="606"/>
      <c r="C60" s="606"/>
      <c r="D60" s="606"/>
      <c r="E60" s="606"/>
      <c r="F60" s="606"/>
      <c r="G60" s="606"/>
      <c r="H60" s="606"/>
    </row>
    <row r="61" spans="1:14" ht="13.5" customHeight="1" thickBot="1">
      <c r="A61" s="278"/>
      <c r="B61" s="278"/>
      <c r="C61" s="278"/>
      <c r="D61" s="278"/>
      <c r="E61" s="278"/>
      <c r="F61" s="278"/>
      <c r="G61" s="278"/>
      <c r="H61" s="278"/>
      <c r="J61" s="4" t="s">
        <v>248</v>
      </c>
      <c r="N61" s="4" t="s">
        <v>225</v>
      </c>
    </row>
    <row r="62" spans="1:16" ht="45.75" customHeight="1">
      <c r="A62" s="262" t="s">
        <v>32</v>
      </c>
      <c r="B62" s="263" t="s">
        <v>92</v>
      </c>
      <c r="C62" s="263" t="s">
        <v>175</v>
      </c>
      <c r="D62" s="263" t="s">
        <v>93</v>
      </c>
      <c r="E62" s="289" t="s">
        <v>94</v>
      </c>
      <c r="F62" s="264" t="s">
        <v>95</v>
      </c>
      <c r="G62" s="24"/>
      <c r="J62" s="34" t="s">
        <v>247</v>
      </c>
      <c r="K62" s="34" t="s">
        <v>246</v>
      </c>
      <c r="L62" s="34" t="s">
        <v>3</v>
      </c>
      <c r="N62" s="34" t="s">
        <v>247</v>
      </c>
      <c r="O62" s="34" t="s">
        <v>246</v>
      </c>
      <c r="P62" s="34" t="s">
        <v>3</v>
      </c>
    </row>
    <row r="63" spans="1:7" s="33" customFormat="1" ht="12.75" customHeight="1">
      <c r="A63" s="290">
        <v>1</v>
      </c>
      <c r="B63" s="291">
        <v>2</v>
      </c>
      <c r="C63" s="291">
        <v>3</v>
      </c>
      <c r="D63" s="291">
        <v>4</v>
      </c>
      <c r="E63" s="291" t="s">
        <v>97</v>
      </c>
      <c r="F63" s="292">
        <v>6</v>
      </c>
      <c r="G63" s="32"/>
    </row>
    <row r="64" spans="1:16" ht="12.75" customHeight="1">
      <c r="A64" s="273">
        <v>1</v>
      </c>
      <c r="B64" s="293" t="s">
        <v>133</v>
      </c>
      <c r="C64" s="294">
        <v>236</v>
      </c>
      <c r="D64" s="34">
        <v>236</v>
      </c>
      <c r="E64" s="34">
        <f aca="true" t="shared" si="4" ref="E64:E72">C64-D64</f>
        <v>0</v>
      </c>
      <c r="F64" s="253">
        <f aca="true" t="shared" si="5" ref="F64:F72">E64/C64</f>
        <v>0</v>
      </c>
      <c r="G64" s="24"/>
      <c r="J64" s="34">
        <v>0</v>
      </c>
      <c r="K64" s="34">
        <v>236</v>
      </c>
      <c r="L64" s="34">
        <f>SUM(J64:K64)</f>
        <v>236</v>
      </c>
      <c r="N64" s="34">
        <v>0</v>
      </c>
      <c r="O64" s="34">
        <v>236</v>
      </c>
      <c r="P64" s="34">
        <f>SUM(N64:O64)</f>
        <v>236</v>
      </c>
    </row>
    <row r="65" spans="1:16" ht="13.5" customHeight="1">
      <c r="A65" s="273">
        <v>2</v>
      </c>
      <c r="B65" s="293" t="s">
        <v>134</v>
      </c>
      <c r="C65" s="294">
        <v>124</v>
      </c>
      <c r="D65" s="34">
        <v>124</v>
      </c>
      <c r="E65" s="34">
        <f t="shared" si="4"/>
        <v>0</v>
      </c>
      <c r="F65" s="253">
        <f t="shared" si="5"/>
        <v>0</v>
      </c>
      <c r="G65" s="24"/>
      <c r="J65" s="34">
        <v>3</v>
      </c>
      <c r="K65" s="34">
        <v>121</v>
      </c>
      <c r="L65" s="34">
        <f aca="true" t="shared" si="6" ref="L65:L71">SUM(J65:K65)</f>
        <v>124</v>
      </c>
      <c r="N65" s="34">
        <v>3</v>
      </c>
      <c r="O65" s="34">
        <v>121</v>
      </c>
      <c r="P65" s="34">
        <f aca="true" t="shared" si="7" ref="P65:P71">SUM(N65:O65)</f>
        <v>124</v>
      </c>
    </row>
    <row r="66" spans="1:16" ht="14.25" customHeight="1">
      <c r="A66" s="273">
        <v>3</v>
      </c>
      <c r="B66" s="293" t="s">
        <v>135</v>
      </c>
      <c r="C66" s="294">
        <v>82</v>
      </c>
      <c r="D66" s="34">
        <v>82</v>
      </c>
      <c r="E66" s="34">
        <f t="shared" si="4"/>
        <v>0</v>
      </c>
      <c r="F66" s="253">
        <f t="shared" si="5"/>
        <v>0</v>
      </c>
      <c r="G66" s="24"/>
      <c r="J66" s="34">
        <v>0</v>
      </c>
      <c r="K66" s="34">
        <v>82</v>
      </c>
      <c r="L66" s="34">
        <f t="shared" si="6"/>
        <v>82</v>
      </c>
      <c r="N66" s="34">
        <v>0</v>
      </c>
      <c r="O66" s="34">
        <v>82</v>
      </c>
      <c r="P66" s="34">
        <f t="shared" si="7"/>
        <v>82</v>
      </c>
    </row>
    <row r="67" spans="1:16" ht="12.75" customHeight="1">
      <c r="A67" s="273">
        <v>4</v>
      </c>
      <c r="B67" s="293" t="s">
        <v>136</v>
      </c>
      <c r="C67" s="294">
        <v>165</v>
      </c>
      <c r="D67" s="34">
        <v>165</v>
      </c>
      <c r="E67" s="34">
        <f t="shared" si="4"/>
        <v>0</v>
      </c>
      <c r="F67" s="253">
        <f t="shared" si="5"/>
        <v>0</v>
      </c>
      <c r="G67" s="24"/>
      <c r="J67" s="34">
        <v>2</v>
      </c>
      <c r="K67" s="34">
        <v>163</v>
      </c>
      <c r="L67" s="34">
        <f t="shared" si="6"/>
        <v>165</v>
      </c>
      <c r="N67" s="34">
        <v>2</v>
      </c>
      <c r="O67" s="34">
        <v>163</v>
      </c>
      <c r="P67" s="34">
        <f t="shared" si="7"/>
        <v>165</v>
      </c>
    </row>
    <row r="68" spans="1:16" ht="12.75" customHeight="1">
      <c r="A68" s="273">
        <v>5</v>
      </c>
      <c r="B68" s="293" t="s">
        <v>137</v>
      </c>
      <c r="C68" s="294">
        <v>225</v>
      </c>
      <c r="D68" s="34">
        <v>225</v>
      </c>
      <c r="E68" s="34">
        <f t="shared" si="4"/>
        <v>0</v>
      </c>
      <c r="F68" s="253">
        <f t="shared" si="5"/>
        <v>0</v>
      </c>
      <c r="G68" s="24"/>
      <c r="J68" s="34">
        <v>0</v>
      </c>
      <c r="K68" s="34">
        <v>225</v>
      </c>
      <c r="L68" s="34">
        <f t="shared" si="6"/>
        <v>225</v>
      </c>
      <c r="N68" s="34">
        <v>0</v>
      </c>
      <c r="O68" s="34">
        <v>225</v>
      </c>
      <c r="P68" s="34">
        <f t="shared" si="7"/>
        <v>225</v>
      </c>
    </row>
    <row r="69" spans="1:16" ht="12.75" customHeight="1">
      <c r="A69" s="273">
        <v>6</v>
      </c>
      <c r="B69" s="293" t="s">
        <v>138</v>
      </c>
      <c r="C69" s="294">
        <v>118</v>
      </c>
      <c r="D69" s="34">
        <v>118</v>
      </c>
      <c r="E69" s="34">
        <f t="shared" si="4"/>
        <v>0</v>
      </c>
      <c r="F69" s="253">
        <f t="shared" si="5"/>
        <v>0</v>
      </c>
      <c r="G69" s="24"/>
      <c r="J69" s="34">
        <v>2</v>
      </c>
      <c r="K69" s="34">
        <v>116</v>
      </c>
      <c r="L69" s="34">
        <f t="shared" si="6"/>
        <v>118</v>
      </c>
      <c r="N69" s="34">
        <v>2</v>
      </c>
      <c r="O69" s="34">
        <v>116</v>
      </c>
      <c r="P69" s="34">
        <f t="shared" si="7"/>
        <v>118</v>
      </c>
    </row>
    <row r="70" spans="1:16" ht="12.75" customHeight="1">
      <c r="A70" s="273">
        <v>7</v>
      </c>
      <c r="B70" s="293" t="s">
        <v>139</v>
      </c>
      <c r="C70" s="294">
        <v>76</v>
      </c>
      <c r="D70" s="34">
        <v>76</v>
      </c>
      <c r="E70" s="34">
        <f t="shared" si="4"/>
        <v>0</v>
      </c>
      <c r="F70" s="253">
        <f t="shared" si="5"/>
        <v>0</v>
      </c>
      <c r="G70" s="24" t="s">
        <v>107</v>
      </c>
      <c r="J70" s="34">
        <v>0</v>
      </c>
      <c r="K70" s="34">
        <v>76</v>
      </c>
      <c r="L70" s="34">
        <f t="shared" si="6"/>
        <v>76</v>
      </c>
      <c r="N70" s="34">
        <v>0</v>
      </c>
      <c r="O70" s="34">
        <v>76</v>
      </c>
      <c r="P70" s="34">
        <f t="shared" si="7"/>
        <v>76</v>
      </c>
    </row>
    <row r="71" spans="1:16" ht="12.75" customHeight="1" thickBot="1">
      <c r="A71" s="298">
        <v>8</v>
      </c>
      <c r="B71" s="293" t="s">
        <v>140</v>
      </c>
      <c r="C71" s="299">
        <v>65</v>
      </c>
      <c r="D71" s="37">
        <v>65</v>
      </c>
      <c r="E71" s="37">
        <f t="shared" si="4"/>
        <v>0</v>
      </c>
      <c r="F71" s="300">
        <f t="shared" si="5"/>
        <v>0</v>
      </c>
      <c r="G71" s="24"/>
      <c r="J71" s="37">
        <v>0</v>
      </c>
      <c r="K71" s="37">
        <v>65</v>
      </c>
      <c r="L71" s="37">
        <f t="shared" si="6"/>
        <v>65</v>
      </c>
      <c r="N71" s="37">
        <v>0</v>
      </c>
      <c r="O71" s="37">
        <v>65</v>
      </c>
      <c r="P71" s="37">
        <f t="shared" si="7"/>
        <v>65</v>
      </c>
    </row>
    <row r="72" spans="1:16" ht="18.75" customHeight="1" thickBot="1">
      <c r="A72" s="301"/>
      <c r="B72" s="302" t="s">
        <v>56</v>
      </c>
      <c r="C72" s="303">
        <v>1091</v>
      </c>
      <c r="D72" s="303">
        <v>1091</v>
      </c>
      <c r="E72" s="304">
        <f t="shared" si="4"/>
        <v>0</v>
      </c>
      <c r="F72" s="305">
        <f t="shared" si="5"/>
        <v>0</v>
      </c>
      <c r="G72" s="24"/>
      <c r="J72" s="140">
        <v>7</v>
      </c>
      <c r="K72" s="141">
        <v>1084</v>
      </c>
      <c r="L72" s="142">
        <f>SUM(L64:L71)</f>
        <v>1091</v>
      </c>
      <c r="N72" s="140">
        <v>7</v>
      </c>
      <c r="O72" s="141">
        <v>1084</v>
      </c>
      <c r="P72" s="142">
        <f>SUM(P64:P71)</f>
        <v>1091</v>
      </c>
    </row>
    <row r="73" spans="1:7" ht="12.75" customHeight="1">
      <c r="A73" s="21"/>
      <c r="B73" s="31"/>
      <c r="C73" s="31"/>
      <c r="D73" s="31"/>
      <c r="E73" s="31"/>
      <c r="G73" s="24"/>
    </row>
    <row r="74" spans="1:7" ht="19.5" customHeight="1">
      <c r="A74" s="611" t="s">
        <v>158</v>
      </c>
      <c r="B74" s="611"/>
      <c r="C74" s="611"/>
      <c r="D74" s="31"/>
      <c r="E74" s="31"/>
      <c r="G74" s="24"/>
    </row>
    <row r="75" spans="1:7" ht="12.75" customHeight="1">
      <c r="A75" s="21"/>
      <c r="B75" s="31"/>
      <c r="C75" s="31"/>
      <c r="D75" s="31"/>
      <c r="E75" s="31"/>
      <c r="G75" s="24"/>
    </row>
    <row r="76" spans="1:11" ht="12.75" customHeight="1">
      <c r="A76" s="21"/>
      <c r="B76" s="31"/>
      <c r="C76" s="31"/>
      <c r="D76" s="31"/>
      <c r="E76" s="31"/>
      <c r="G76" s="24"/>
      <c r="K76" s="4">
        <f>B73/10000000</f>
        <v>0</v>
      </c>
    </row>
    <row r="77" spans="1:8" ht="12.75" customHeight="1">
      <c r="A77" s="608" t="s">
        <v>259</v>
      </c>
      <c r="B77" s="608"/>
      <c r="C77" s="608"/>
      <c r="D77" s="608"/>
      <c r="E77" s="608"/>
      <c r="F77" s="608"/>
      <c r="G77" s="608"/>
      <c r="H77" s="608"/>
    </row>
    <row r="78" spans="1:7" ht="12.75" customHeight="1" thickBot="1">
      <c r="A78" s="278"/>
      <c r="B78" s="278"/>
      <c r="C78" s="278"/>
      <c r="D78" s="278"/>
      <c r="E78" s="278"/>
      <c r="F78" s="278"/>
      <c r="G78" s="278"/>
    </row>
    <row r="79" spans="1:7" ht="64.5" customHeight="1">
      <c r="A79" s="262" t="s">
        <v>32</v>
      </c>
      <c r="B79" s="263" t="s">
        <v>92</v>
      </c>
      <c r="C79" s="263" t="s">
        <v>274</v>
      </c>
      <c r="D79" s="263" t="s">
        <v>205</v>
      </c>
      <c r="E79" s="289" t="s">
        <v>30</v>
      </c>
      <c r="F79" s="264" t="s">
        <v>31</v>
      </c>
      <c r="G79" s="24"/>
    </row>
    <row r="80" spans="1:10" s="33" customFormat="1" ht="12.75" customHeight="1">
      <c r="A80" s="290">
        <v>1</v>
      </c>
      <c r="B80" s="291">
        <v>2</v>
      </c>
      <c r="C80" s="291">
        <v>3</v>
      </c>
      <c r="D80" s="291">
        <v>4</v>
      </c>
      <c r="E80" s="291" t="s">
        <v>96</v>
      </c>
      <c r="F80" s="292">
        <v>6</v>
      </c>
      <c r="G80" s="32"/>
      <c r="J80" s="32"/>
    </row>
    <row r="81" spans="1:10" ht="12.75" customHeight="1">
      <c r="A81" s="273">
        <v>1</v>
      </c>
      <c r="B81" s="293" t="s">
        <v>133</v>
      </c>
      <c r="C81" s="294">
        <v>18205</v>
      </c>
      <c r="D81" s="20">
        <v>17266</v>
      </c>
      <c r="E81" s="20">
        <f aca="true" t="shared" si="8" ref="E81:E88">D81-C81</f>
        <v>-939</v>
      </c>
      <c r="F81" s="253">
        <f aca="true" t="shared" si="9" ref="F81:F89">E81/C81</f>
        <v>-0.05157923647349629</v>
      </c>
      <c r="G81" s="24"/>
      <c r="J81" s="38"/>
    </row>
    <row r="82" spans="1:10" ht="12.75" customHeight="1">
      <c r="A82" s="273">
        <v>2</v>
      </c>
      <c r="B82" s="293" t="s">
        <v>134</v>
      </c>
      <c r="C82" s="294">
        <v>9267</v>
      </c>
      <c r="D82" s="20">
        <v>8673</v>
      </c>
      <c r="E82" s="20">
        <f t="shared" si="8"/>
        <v>-594</v>
      </c>
      <c r="F82" s="253">
        <f t="shared" si="9"/>
        <v>-0.06409841372612496</v>
      </c>
      <c r="G82" s="24"/>
      <c r="J82" s="38"/>
    </row>
    <row r="83" spans="1:10" ht="12.75" customHeight="1">
      <c r="A83" s="273">
        <v>3</v>
      </c>
      <c r="B83" s="293" t="s">
        <v>135</v>
      </c>
      <c r="C83" s="294">
        <v>8064</v>
      </c>
      <c r="D83" s="20">
        <v>7855</v>
      </c>
      <c r="E83" s="20">
        <f t="shared" si="8"/>
        <v>-209</v>
      </c>
      <c r="F83" s="253">
        <f t="shared" si="9"/>
        <v>-0.025917658730158732</v>
      </c>
      <c r="G83" s="24"/>
      <c r="J83" s="38"/>
    </row>
    <row r="84" spans="1:10" ht="12.75" customHeight="1">
      <c r="A84" s="273">
        <v>4</v>
      </c>
      <c r="B84" s="293" t="s">
        <v>136</v>
      </c>
      <c r="C84" s="294">
        <v>18390</v>
      </c>
      <c r="D84" s="20">
        <v>17678</v>
      </c>
      <c r="E84" s="20">
        <f t="shared" si="8"/>
        <v>-712</v>
      </c>
      <c r="F84" s="253">
        <f t="shared" si="9"/>
        <v>-0.03871669385535617</v>
      </c>
      <c r="G84" s="24"/>
      <c r="J84" s="38"/>
    </row>
    <row r="85" spans="1:10" ht="12.75" customHeight="1">
      <c r="A85" s="273">
        <v>5</v>
      </c>
      <c r="B85" s="293" t="s">
        <v>137</v>
      </c>
      <c r="C85" s="294">
        <v>18842</v>
      </c>
      <c r="D85" s="20">
        <v>18304</v>
      </c>
      <c r="E85" s="20">
        <f t="shared" si="8"/>
        <v>-538</v>
      </c>
      <c r="F85" s="253">
        <f t="shared" si="9"/>
        <v>-0.02855323214096168</v>
      </c>
      <c r="G85" s="24"/>
      <c r="J85" s="38"/>
    </row>
    <row r="86" spans="1:10" ht="12.75" customHeight="1">
      <c r="A86" s="273">
        <v>6</v>
      </c>
      <c r="B86" s="293" t="s">
        <v>138</v>
      </c>
      <c r="C86" s="294">
        <v>11813</v>
      </c>
      <c r="D86" s="20">
        <v>10742</v>
      </c>
      <c r="E86" s="20">
        <f t="shared" si="8"/>
        <v>-1071</v>
      </c>
      <c r="F86" s="253">
        <f t="shared" si="9"/>
        <v>-0.0906628290865995</v>
      </c>
      <c r="G86" s="24"/>
      <c r="I86" s="24"/>
      <c r="J86" s="38"/>
    </row>
    <row r="87" spans="1:10" ht="12.75" customHeight="1">
      <c r="A87" s="273">
        <v>7</v>
      </c>
      <c r="B87" s="293" t="s">
        <v>139</v>
      </c>
      <c r="C87" s="294">
        <v>8363</v>
      </c>
      <c r="D87" s="20">
        <v>7589</v>
      </c>
      <c r="E87" s="20">
        <f t="shared" si="8"/>
        <v>-774</v>
      </c>
      <c r="F87" s="253">
        <f t="shared" si="9"/>
        <v>-0.09255052014827216</v>
      </c>
      <c r="G87" s="24"/>
      <c r="H87" s="4" t="s">
        <v>107</v>
      </c>
      <c r="J87" s="38"/>
    </row>
    <row r="88" spans="1:10" ht="12.75" customHeight="1">
      <c r="A88" s="273">
        <v>8</v>
      </c>
      <c r="B88" s="293" t="s">
        <v>140</v>
      </c>
      <c r="C88" s="294">
        <v>4126</v>
      </c>
      <c r="D88" s="20">
        <v>3947</v>
      </c>
      <c r="E88" s="20">
        <f t="shared" si="8"/>
        <v>-179</v>
      </c>
      <c r="F88" s="253">
        <f t="shared" si="9"/>
        <v>-0.043383422200678624</v>
      </c>
      <c r="G88" s="24"/>
      <c r="J88" s="38"/>
    </row>
    <row r="89" spans="1:11" s="13" customFormat="1" ht="18" customHeight="1" thickBot="1">
      <c r="A89" s="306"/>
      <c r="B89" s="295" t="s">
        <v>56</v>
      </c>
      <c r="C89" s="307">
        <v>97070</v>
      </c>
      <c r="D89" s="308">
        <v>92053</v>
      </c>
      <c r="E89" s="309">
        <f>SUM(E81:E88)</f>
        <v>-5016</v>
      </c>
      <c r="F89" s="310">
        <f t="shared" si="9"/>
        <v>-0.05167404965488823</v>
      </c>
      <c r="G89" s="311"/>
      <c r="I89" s="4"/>
      <c r="J89" s="39"/>
      <c r="K89" s="4"/>
    </row>
    <row r="90" spans="1:7" ht="12.75" customHeight="1">
      <c r="A90" s="21"/>
      <c r="B90" s="25"/>
      <c r="C90" s="35"/>
      <c r="D90" s="35"/>
      <c r="E90" s="35"/>
      <c r="F90" s="36"/>
      <c r="G90" s="24"/>
    </row>
    <row r="91" spans="1:10" ht="15">
      <c r="A91" s="608" t="s">
        <v>260</v>
      </c>
      <c r="B91" s="608"/>
      <c r="C91" s="608"/>
      <c r="D91" s="608"/>
      <c r="E91" s="608"/>
      <c r="F91" s="608"/>
      <c r="G91" s="608"/>
      <c r="H91" s="608"/>
      <c r="J91" s="40"/>
    </row>
    <row r="92" spans="1:10" ht="12.75" customHeight="1" thickBot="1">
      <c r="A92" s="278"/>
      <c r="B92" s="278"/>
      <c r="C92" s="278"/>
      <c r="D92" s="278"/>
      <c r="E92" s="278"/>
      <c r="F92" s="278"/>
      <c r="G92" s="24"/>
      <c r="J92" s="24"/>
    </row>
    <row r="93" spans="1:7" ht="66" customHeight="1">
      <c r="A93" s="262" t="s">
        <v>32</v>
      </c>
      <c r="B93" s="263" t="s">
        <v>92</v>
      </c>
      <c r="C93" s="263" t="str">
        <f>C79</f>
        <v>No. of children as per PAB Approval for  2017-18</v>
      </c>
      <c r="D93" s="263" t="s">
        <v>205</v>
      </c>
      <c r="E93" s="289" t="s">
        <v>30</v>
      </c>
      <c r="F93" s="264" t="s">
        <v>31</v>
      </c>
      <c r="G93" s="24"/>
    </row>
    <row r="94" spans="1:7" s="33" customFormat="1" ht="12.75" customHeight="1">
      <c r="A94" s="290">
        <v>1</v>
      </c>
      <c r="B94" s="291">
        <v>2</v>
      </c>
      <c r="C94" s="291">
        <v>3</v>
      </c>
      <c r="D94" s="291">
        <v>4</v>
      </c>
      <c r="E94" s="291" t="s">
        <v>96</v>
      </c>
      <c r="F94" s="292">
        <v>6</v>
      </c>
      <c r="G94" s="32"/>
    </row>
    <row r="95" spans="1:11" ht="12.75" customHeight="1">
      <c r="A95" s="273">
        <v>1</v>
      </c>
      <c r="B95" s="293" t="s">
        <v>133</v>
      </c>
      <c r="C95" s="20">
        <v>10135</v>
      </c>
      <c r="D95" s="312">
        <v>9309</v>
      </c>
      <c r="E95" s="20">
        <f aca="true" t="shared" si="10" ref="E95:E102">D95-C95</f>
        <v>-826</v>
      </c>
      <c r="F95" s="253">
        <f aca="true" t="shared" si="11" ref="F95:F103">E95/C95</f>
        <v>-0.0814997533300444</v>
      </c>
      <c r="G95" s="24"/>
      <c r="K95" s="41"/>
    </row>
    <row r="96" spans="1:11" ht="12.75" customHeight="1">
      <c r="A96" s="273">
        <v>2</v>
      </c>
      <c r="B96" s="293" t="s">
        <v>134</v>
      </c>
      <c r="C96" s="20">
        <v>5492</v>
      </c>
      <c r="D96" s="312">
        <v>5044</v>
      </c>
      <c r="E96" s="20">
        <f t="shared" si="10"/>
        <v>-448</v>
      </c>
      <c r="F96" s="253">
        <f t="shared" si="11"/>
        <v>-0.08157319737800436</v>
      </c>
      <c r="G96" s="24"/>
      <c r="K96" s="41"/>
    </row>
    <row r="97" spans="1:11" ht="12.75" customHeight="1">
      <c r="A97" s="273">
        <v>3</v>
      </c>
      <c r="B97" s="293" t="s">
        <v>135</v>
      </c>
      <c r="C97" s="20">
        <v>3829</v>
      </c>
      <c r="D97" s="312">
        <v>3517</v>
      </c>
      <c r="E97" s="20">
        <f t="shared" si="10"/>
        <v>-312</v>
      </c>
      <c r="F97" s="253">
        <f t="shared" si="11"/>
        <v>-0.08148341603551841</v>
      </c>
      <c r="G97" s="24"/>
      <c r="K97" s="41"/>
    </row>
    <row r="98" spans="1:11" ht="12.75" customHeight="1">
      <c r="A98" s="273">
        <v>4</v>
      </c>
      <c r="B98" s="293" t="s">
        <v>136</v>
      </c>
      <c r="C98" s="20">
        <v>6531</v>
      </c>
      <c r="D98" s="312">
        <v>5999</v>
      </c>
      <c r="E98" s="20">
        <f t="shared" si="10"/>
        <v>-532</v>
      </c>
      <c r="F98" s="253">
        <f t="shared" si="11"/>
        <v>-0.08145766345123258</v>
      </c>
      <c r="G98" s="24"/>
      <c r="K98" s="41"/>
    </row>
    <row r="99" spans="1:11" ht="12.75" customHeight="1">
      <c r="A99" s="273">
        <v>5</v>
      </c>
      <c r="B99" s="293" t="s">
        <v>137</v>
      </c>
      <c r="C99" s="20">
        <v>8843</v>
      </c>
      <c r="D99" s="312">
        <v>8122</v>
      </c>
      <c r="E99" s="20">
        <f t="shared" si="10"/>
        <v>-721</v>
      </c>
      <c r="F99" s="253">
        <f t="shared" si="11"/>
        <v>-0.08153341626144973</v>
      </c>
      <c r="G99" s="24"/>
      <c r="K99" s="41"/>
    </row>
    <row r="100" spans="1:11" ht="12.75" customHeight="1">
      <c r="A100" s="273">
        <v>6</v>
      </c>
      <c r="B100" s="293" t="s">
        <v>138</v>
      </c>
      <c r="C100" s="20">
        <v>4341</v>
      </c>
      <c r="D100" s="312">
        <v>3987</v>
      </c>
      <c r="E100" s="20">
        <f t="shared" si="10"/>
        <v>-354</v>
      </c>
      <c r="F100" s="253">
        <f t="shared" si="11"/>
        <v>-0.08154803040774015</v>
      </c>
      <c r="G100" s="24"/>
      <c r="K100" s="41"/>
    </row>
    <row r="101" spans="1:11" ht="12.75" customHeight="1">
      <c r="A101" s="273">
        <v>7</v>
      </c>
      <c r="B101" s="293" t="s">
        <v>139</v>
      </c>
      <c r="C101" s="20">
        <v>2842</v>
      </c>
      <c r="D101" s="312">
        <v>2610</v>
      </c>
      <c r="E101" s="20">
        <f t="shared" si="10"/>
        <v>-232</v>
      </c>
      <c r="F101" s="253">
        <f t="shared" si="11"/>
        <v>-0.08163265306122448</v>
      </c>
      <c r="G101" s="24"/>
      <c r="K101" s="41"/>
    </row>
    <row r="102" spans="1:11" ht="12.75" customHeight="1">
      <c r="A102" s="273">
        <v>8</v>
      </c>
      <c r="B102" s="293" t="s">
        <v>140</v>
      </c>
      <c r="C102" s="20">
        <v>2876</v>
      </c>
      <c r="D102" s="312">
        <v>2642</v>
      </c>
      <c r="E102" s="20">
        <f t="shared" si="10"/>
        <v>-234</v>
      </c>
      <c r="F102" s="253">
        <f t="shared" si="11"/>
        <v>-0.08136300417246176</v>
      </c>
      <c r="G102" s="24"/>
      <c r="K102" s="41"/>
    </row>
    <row r="103" spans="1:12" s="13" customFormat="1" ht="17.25" customHeight="1" thickBot="1">
      <c r="A103" s="306"/>
      <c r="B103" s="295" t="s">
        <v>56</v>
      </c>
      <c r="C103" s="308">
        <v>44889</v>
      </c>
      <c r="D103" s="308">
        <v>41230</v>
      </c>
      <c r="E103" s="308">
        <f>SUM(E95:E102)</f>
        <v>-3659</v>
      </c>
      <c r="F103" s="310">
        <f t="shared" si="11"/>
        <v>-0.08151217447481565</v>
      </c>
      <c r="G103" s="311"/>
      <c r="I103" s="4"/>
      <c r="J103" s="4"/>
      <c r="L103" s="4"/>
    </row>
    <row r="104" spans="1:7" ht="12.75" customHeight="1">
      <c r="A104" s="21"/>
      <c r="B104" s="25"/>
      <c r="C104" s="35"/>
      <c r="D104" s="42"/>
      <c r="E104" s="35"/>
      <c r="F104" s="36"/>
      <c r="G104" s="24"/>
    </row>
    <row r="105" spans="1:8" ht="18" customHeight="1">
      <c r="A105" s="608" t="s">
        <v>261</v>
      </c>
      <c r="B105" s="608"/>
      <c r="C105" s="608"/>
      <c r="D105" s="608"/>
      <c r="E105" s="608"/>
      <c r="F105" s="608"/>
      <c r="G105" s="608"/>
      <c r="H105" s="608"/>
    </row>
    <row r="106" spans="1:7" ht="12.75" customHeight="1" thickBot="1">
      <c r="A106" s="278"/>
      <c r="B106" s="278"/>
      <c r="C106" s="278"/>
      <c r="D106" s="278"/>
      <c r="E106" s="278"/>
      <c r="F106" s="278"/>
      <c r="G106" s="278"/>
    </row>
    <row r="107" spans="1:7" ht="64.5" customHeight="1">
      <c r="A107" s="262" t="s">
        <v>32</v>
      </c>
      <c r="B107" s="263" t="s">
        <v>92</v>
      </c>
      <c r="C107" s="263" t="s">
        <v>182</v>
      </c>
      <c r="D107" s="263" t="s">
        <v>205</v>
      </c>
      <c r="E107" s="289" t="s">
        <v>30</v>
      </c>
      <c r="F107" s="264" t="s">
        <v>31</v>
      </c>
      <c r="G107" s="24"/>
    </row>
    <row r="108" spans="1:7" s="33" customFormat="1" ht="12.75" customHeight="1">
      <c r="A108" s="290">
        <v>1</v>
      </c>
      <c r="B108" s="291">
        <v>2</v>
      </c>
      <c r="C108" s="291">
        <v>3</v>
      </c>
      <c r="D108" s="291">
        <v>4</v>
      </c>
      <c r="E108" s="291" t="s">
        <v>96</v>
      </c>
      <c r="F108" s="292">
        <v>6</v>
      </c>
      <c r="G108" s="32"/>
    </row>
    <row r="109" spans="1:15" ht="12.75" customHeight="1">
      <c r="A109" s="273">
        <v>1</v>
      </c>
      <c r="B109" s="293" t="s">
        <v>133</v>
      </c>
      <c r="C109" s="294">
        <v>18768</v>
      </c>
      <c r="D109" s="20">
        <v>17266</v>
      </c>
      <c r="E109" s="20">
        <f aca="true" t="shared" si="12" ref="E109:E116">D109-C109</f>
        <v>-1502</v>
      </c>
      <c r="F109" s="253">
        <f aca="true" t="shared" si="13" ref="F109:F117">E109/C109</f>
        <v>-0.08002983802216539</v>
      </c>
      <c r="G109" s="24"/>
      <c r="O109" s="33"/>
    </row>
    <row r="110" spans="1:15" ht="12.75" customHeight="1">
      <c r="A110" s="273">
        <v>2</v>
      </c>
      <c r="B110" s="293" t="s">
        <v>134</v>
      </c>
      <c r="C110" s="294">
        <v>9428</v>
      </c>
      <c r="D110" s="20">
        <v>8673</v>
      </c>
      <c r="E110" s="20">
        <f t="shared" si="12"/>
        <v>-755</v>
      </c>
      <c r="F110" s="253">
        <f t="shared" si="13"/>
        <v>-0.08008061094611794</v>
      </c>
      <c r="G110" s="24"/>
      <c r="O110" s="33"/>
    </row>
    <row r="111" spans="1:15" ht="12.75" customHeight="1">
      <c r="A111" s="273">
        <v>3</v>
      </c>
      <c r="B111" s="293" t="s">
        <v>135</v>
      </c>
      <c r="C111" s="294">
        <v>8538</v>
      </c>
      <c r="D111" s="20">
        <v>7855</v>
      </c>
      <c r="E111" s="20">
        <f t="shared" si="12"/>
        <v>-683</v>
      </c>
      <c r="F111" s="253">
        <f t="shared" si="13"/>
        <v>-0.07999531506207543</v>
      </c>
      <c r="G111" s="24"/>
      <c r="O111" s="33"/>
    </row>
    <row r="112" spans="1:15" ht="12.75" customHeight="1">
      <c r="A112" s="273">
        <v>4</v>
      </c>
      <c r="B112" s="293" t="s">
        <v>136</v>
      </c>
      <c r="C112" s="294">
        <v>19216</v>
      </c>
      <c r="D112" s="20">
        <v>17678</v>
      </c>
      <c r="E112" s="20">
        <f t="shared" si="12"/>
        <v>-1538</v>
      </c>
      <c r="F112" s="253">
        <f t="shared" si="13"/>
        <v>-0.08003746877601998</v>
      </c>
      <c r="G112" s="24"/>
      <c r="O112" s="33"/>
    </row>
    <row r="113" spans="1:15" ht="12.75" customHeight="1">
      <c r="A113" s="273">
        <v>5</v>
      </c>
      <c r="B113" s="293" t="s">
        <v>137</v>
      </c>
      <c r="C113" s="294">
        <v>19896</v>
      </c>
      <c r="D113" s="20">
        <v>18304</v>
      </c>
      <c r="E113" s="20">
        <f t="shared" si="12"/>
        <v>-1592</v>
      </c>
      <c r="F113" s="253">
        <f t="shared" si="13"/>
        <v>-0.0800160836349015</v>
      </c>
      <c r="G113" s="24"/>
      <c r="O113" s="33"/>
    </row>
    <row r="114" spans="1:15" ht="12.75" customHeight="1">
      <c r="A114" s="273">
        <v>6</v>
      </c>
      <c r="B114" s="293" t="s">
        <v>138</v>
      </c>
      <c r="C114" s="294">
        <v>11676</v>
      </c>
      <c r="D114" s="20">
        <v>10742</v>
      </c>
      <c r="E114" s="20">
        <f t="shared" si="12"/>
        <v>-934</v>
      </c>
      <c r="F114" s="253">
        <f t="shared" si="13"/>
        <v>-0.07999314833847208</v>
      </c>
      <c r="G114" s="24"/>
      <c r="O114" s="33"/>
    </row>
    <row r="115" spans="1:15" ht="12.75" customHeight="1">
      <c r="A115" s="273">
        <v>7</v>
      </c>
      <c r="B115" s="293" t="s">
        <v>139</v>
      </c>
      <c r="C115" s="294">
        <v>8249</v>
      </c>
      <c r="D115" s="20">
        <v>7589</v>
      </c>
      <c r="E115" s="20">
        <f t="shared" si="12"/>
        <v>-660</v>
      </c>
      <c r="F115" s="253">
        <f t="shared" si="13"/>
        <v>-0.08000969814522972</v>
      </c>
      <c r="G115" s="24"/>
      <c r="H115" s="4" t="s">
        <v>107</v>
      </c>
      <c r="O115" s="33"/>
    </row>
    <row r="116" spans="1:15" ht="12.75" customHeight="1">
      <c r="A116" s="273">
        <v>8</v>
      </c>
      <c r="B116" s="293" t="s">
        <v>140</v>
      </c>
      <c r="C116" s="294">
        <v>4290</v>
      </c>
      <c r="D116" s="20">
        <v>3947</v>
      </c>
      <c r="E116" s="20">
        <f t="shared" si="12"/>
        <v>-343</v>
      </c>
      <c r="F116" s="253">
        <f t="shared" si="13"/>
        <v>-0.07995337995337995</v>
      </c>
      <c r="G116" s="24"/>
      <c r="O116" s="33"/>
    </row>
    <row r="117" spans="1:11" s="13" customFormat="1" ht="18" customHeight="1" thickBot="1">
      <c r="A117" s="306"/>
      <c r="B117" s="295" t="s">
        <v>56</v>
      </c>
      <c r="C117" s="307">
        <v>100061</v>
      </c>
      <c r="D117" s="308">
        <v>92053</v>
      </c>
      <c r="E117" s="309">
        <f>SUM(E109:E116)</f>
        <v>-8007</v>
      </c>
      <c r="F117" s="310">
        <f t="shared" si="13"/>
        <v>-0.08002118707588371</v>
      </c>
      <c r="G117" s="311">
        <f>D117/C117</f>
        <v>0.9199688190203975</v>
      </c>
      <c r="I117" s="4"/>
      <c r="J117" s="4"/>
      <c r="K117" s="4"/>
    </row>
    <row r="118" spans="1:7" ht="12.75" customHeight="1">
      <c r="A118" s="21"/>
      <c r="B118" s="25"/>
      <c r="C118" s="35"/>
      <c r="D118" s="35"/>
      <c r="E118" s="35"/>
      <c r="F118" s="36"/>
      <c r="G118" s="24"/>
    </row>
    <row r="119" spans="1:10" s="43" customFormat="1" ht="17.25" customHeight="1">
      <c r="A119" s="608" t="s">
        <v>262</v>
      </c>
      <c r="B119" s="608"/>
      <c r="C119" s="608"/>
      <c r="D119" s="608"/>
      <c r="E119" s="608"/>
      <c r="F119" s="608"/>
      <c r="G119" s="608"/>
      <c r="H119" s="608"/>
      <c r="J119" s="44"/>
    </row>
    <row r="120" spans="1:10" ht="12.75" customHeight="1" thickBot="1">
      <c r="A120" s="278"/>
      <c r="B120" s="278"/>
      <c r="C120" s="278"/>
      <c r="D120" s="278"/>
      <c r="E120" s="278"/>
      <c r="F120" s="278"/>
      <c r="G120" s="24"/>
      <c r="J120" s="24"/>
    </row>
    <row r="121" spans="1:7" ht="48.75" customHeight="1">
      <c r="A121" s="262" t="s">
        <v>32</v>
      </c>
      <c r="B121" s="263" t="s">
        <v>92</v>
      </c>
      <c r="C121" s="263" t="s">
        <v>182</v>
      </c>
      <c r="D121" s="263" t="s">
        <v>205</v>
      </c>
      <c r="E121" s="289" t="s">
        <v>30</v>
      </c>
      <c r="F121" s="264" t="s">
        <v>31</v>
      </c>
      <c r="G121" s="24"/>
    </row>
    <row r="122" spans="1:7" s="33" customFormat="1" ht="12.75" customHeight="1">
      <c r="A122" s="290">
        <v>1</v>
      </c>
      <c r="B122" s="291">
        <v>2</v>
      </c>
      <c r="C122" s="291">
        <v>3</v>
      </c>
      <c r="D122" s="291">
        <v>4</v>
      </c>
      <c r="E122" s="291" t="s">
        <v>96</v>
      </c>
      <c r="F122" s="292">
        <v>6</v>
      </c>
      <c r="G122" s="32"/>
    </row>
    <row r="123" spans="1:7" ht="12.75" customHeight="1">
      <c r="A123" s="273">
        <v>1</v>
      </c>
      <c r="B123" s="293" t="s">
        <v>133</v>
      </c>
      <c r="C123" s="34">
        <v>10135</v>
      </c>
      <c r="D123" s="312">
        <v>9309</v>
      </c>
      <c r="E123" s="20">
        <f aca="true" t="shared" si="14" ref="E123:E130">D123-C123</f>
        <v>-826</v>
      </c>
      <c r="F123" s="253">
        <f>E123/C123</f>
        <v>-0.0814997533300444</v>
      </c>
      <c r="G123" s="24"/>
    </row>
    <row r="124" spans="1:7" ht="12.75" customHeight="1">
      <c r="A124" s="273">
        <v>2</v>
      </c>
      <c r="B124" s="293" t="s">
        <v>134</v>
      </c>
      <c r="C124" s="34">
        <v>5492</v>
      </c>
      <c r="D124" s="312">
        <v>5044</v>
      </c>
      <c r="E124" s="20">
        <f t="shared" si="14"/>
        <v>-448</v>
      </c>
      <c r="F124" s="253">
        <f aca="true" t="shared" si="15" ref="F124:F130">E124/C124</f>
        <v>-0.08157319737800436</v>
      </c>
      <c r="G124" s="24"/>
    </row>
    <row r="125" spans="1:7" ht="12.75" customHeight="1">
      <c r="A125" s="273">
        <v>3</v>
      </c>
      <c r="B125" s="293" t="s">
        <v>135</v>
      </c>
      <c r="C125" s="34">
        <v>3829</v>
      </c>
      <c r="D125" s="312">
        <v>3517</v>
      </c>
      <c r="E125" s="20">
        <f t="shared" si="14"/>
        <v>-312</v>
      </c>
      <c r="F125" s="253">
        <f t="shared" si="15"/>
        <v>-0.08148341603551841</v>
      </c>
      <c r="G125" s="24"/>
    </row>
    <row r="126" spans="1:7" ht="12.75" customHeight="1">
      <c r="A126" s="273">
        <v>4</v>
      </c>
      <c r="B126" s="293" t="s">
        <v>136</v>
      </c>
      <c r="C126" s="34">
        <v>6531</v>
      </c>
      <c r="D126" s="312">
        <v>5999</v>
      </c>
      <c r="E126" s="20">
        <f t="shared" si="14"/>
        <v>-532</v>
      </c>
      <c r="F126" s="253">
        <f t="shared" si="15"/>
        <v>-0.08145766345123258</v>
      </c>
      <c r="G126" s="24"/>
    </row>
    <row r="127" spans="1:7" ht="12.75" customHeight="1">
      <c r="A127" s="273">
        <v>5</v>
      </c>
      <c r="B127" s="293" t="s">
        <v>137</v>
      </c>
      <c r="C127" s="34">
        <v>8843</v>
      </c>
      <c r="D127" s="312">
        <v>8122</v>
      </c>
      <c r="E127" s="20">
        <f t="shared" si="14"/>
        <v>-721</v>
      </c>
      <c r="F127" s="253">
        <f t="shared" si="15"/>
        <v>-0.08153341626144973</v>
      </c>
      <c r="G127" s="24"/>
    </row>
    <row r="128" spans="1:7" ht="12.75" customHeight="1">
      <c r="A128" s="273">
        <v>6</v>
      </c>
      <c r="B128" s="293" t="s">
        <v>138</v>
      </c>
      <c r="C128" s="34">
        <v>4341</v>
      </c>
      <c r="D128" s="312">
        <v>3987</v>
      </c>
      <c r="E128" s="20">
        <f t="shared" si="14"/>
        <v>-354</v>
      </c>
      <c r="F128" s="253">
        <f t="shared" si="15"/>
        <v>-0.08154803040774015</v>
      </c>
      <c r="G128" s="24"/>
    </row>
    <row r="129" spans="1:7" ht="12.75" customHeight="1">
      <c r="A129" s="273">
        <v>7</v>
      </c>
      <c r="B129" s="293" t="s">
        <v>139</v>
      </c>
      <c r="C129" s="34">
        <v>2842</v>
      </c>
      <c r="D129" s="312">
        <v>2610</v>
      </c>
      <c r="E129" s="20">
        <f t="shared" si="14"/>
        <v>-232</v>
      </c>
      <c r="F129" s="253">
        <f t="shared" si="15"/>
        <v>-0.08163265306122448</v>
      </c>
      <c r="G129" s="24"/>
    </row>
    <row r="130" spans="1:7" ht="12.75" customHeight="1">
      <c r="A130" s="273">
        <v>8</v>
      </c>
      <c r="B130" s="293" t="s">
        <v>140</v>
      </c>
      <c r="C130" s="34">
        <v>2876</v>
      </c>
      <c r="D130" s="312">
        <v>2642</v>
      </c>
      <c r="E130" s="20">
        <f t="shared" si="14"/>
        <v>-234</v>
      </c>
      <c r="F130" s="253">
        <f t="shared" si="15"/>
        <v>-0.08136300417246176</v>
      </c>
      <c r="G130" s="24"/>
    </row>
    <row r="131" spans="1:12" s="13" customFormat="1" ht="17.25" customHeight="1" thickBot="1">
      <c r="A131" s="306"/>
      <c r="B131" s="295" t="s">
        <v>56</v>
      </c>
      <c r="C131" s="307">
        <v>44889</v>
      </c>
      <c r="D131" s="308">
        <v>41230</v>
      </c>
      <c r="E131" s="309">
        <f>SUM(E123:E130)</f>
        <v>-3659</v>
      </c>
      <c r="F131" s="310">
        <f>E131/C131</f>
        <v>-0.08151217447481565</v>
      </c>
      <c r="G131" s="311">
        <f>D131/C131</f>
        <v>0.9184878255251844</v>
      </c>
      <c r="I131" s="4"/>
      <c r="J131" s="4"/>
      <c r="L131" s="4"/>
    </row>
    <row r="132" spans="1:12" s="13" customFormat="1" ht="17.25" customHeight="1">
      <c r="A132" s="120"/>
      <c r="B132" s="121"/>
      <c r="C132" s="313"/>
      <c r="D132" s="314"/>
      <c r="E132" s="315"/>
      <c r="F132" s="136"/>
      <c r="G132" s="137"/>
      <c r="I132" s="4"/>
      <c r="J132" s="4"/>
      <c r="L132" s="4"/>
    </row>
    <row r="133" spans="1:8" ht="15">
      <c r="A133" s="45" t="s">
        <v>275</v>
      </c>
      <c r="B133" s="46"/>
      <c r="C133" s="46"/>
      <c r="D133" s="46"/>
      <c r="E133" s="46"/>
      <c r="F133" s="46"/>
      <c r="G133" s="46"/>
      <c r="H133" s="46"/>
    </row>
    <row r="134" spans="1:8" ht="13.5" thickBot="1">
      <c r="A134" s="47"/>
      <c r="B134" s="48"/>
      <c r="C134" s="48"/>
      <c r="D134" s="49" t="s">
        <v>263</v>
      </c>
      <c r="E134" s="49"/>
      <c r="F134" s="49"/>
      <c r="G134" s="48"/>
      <c r="H134" s="48"/>
    </row>
    <row r="135" spans="1:15" ht="59.25" customHeight="1">
      <c r="A135" s="316" t="s">
        <v>1</v>
      </c>
      <c r="B135" s="317" t="s">
        <v>2</v>
      </c>
      <c r="C135" s="318" t="s">
        <v>308</v>
      </c>
      <c r="D135" s="318" t="s">
        <v>309</v>
      </c>
      <c r="E135" s="319" t="s">
        <v>108</v>
      </c>
      <c r="F135" s="50"/>
      <c r="I135" s="34" t="s">
        <v>203</v>
      </c>
      <c r="J135" s="34" t="s">
        <v>223</v>
      </c>
      <c r="K135" s="34" t="s">
        <v>3</v>
      </c>
      <c r="M135" s="34" t="s">
        <v>203</v>
      </c>
      <c r="N135" s="34" t="s">
        <v>223</v>
      </c>
      <c r="O135" s="34" t="s">
        <v>3</v>
      </c>
    </row>
    <row r="136" spans="1:15" s="18" customFormat="1" ht="13.5" customHeight="1">
      <c r="A136" s="320">
        <v>1</v>
      </c>
      <c r="B136" s="321">
        <v>2</v>
      </c>
      <c r="C136" s="322">
        <v>3</v>
      </c>
      <c r="D136" s="322">
        <v>4</v>
      </c>
      <c r="E136" s="323">
        <v>5</v>
      </c>
      <c r="F136" s="51"/>
      <c r="I136" s="561" t="s">
        <v>227</v>
      </c>
      <c r="J136" s="561"/>
      <c r="K136" s="561"/>
      <c r="M136" s="561" t="s">
        <v>226</v>
      </c>
      <c r="N136" s="561"/>
      <c r="O136" s="561"/>
    </row>
    <row r="137" spans="1:15" ht="13.5" customHeight="1">
      <c r="A137" s="273">
        <v>1</v>
      </c>
      <c r="B137" s="293" t="s">
        <v>133</v>
      </c>
      <c r="C137" s="20">
        <v>6055115</v>
      </c>
      <c r="D137" s="20">
        <v>5467792.550128463</v>
      </c>
      <c r="E137" s="253">
        <f aca="true" t="shared" si="16" ref="E137:E145">D137/C137</f>
        <v>0.9030039148931874</v>
      </c>
      <c r="H137" s="52"/>
      <c r="I137" s="34">
        <v>3914075</v>
      </c>
      <c r="J137" s="34">
        <v>2141040</v>
      </c>
      <c r="K137" s="34">
        <f>SUM(I137:J137)</f>
        <v>6055115</v>
      </c>
      <c r="M137" s="20">
        <v>3522259.345926985</v>
      </c>
      <c r="N137" s="20">
        <v>1945533.2042014776</v>
      </c>
      <c r="O137" s="20">
        <f>SUM(M137:N137)</f>
        <v>5467792.550128463</v>
      </c>
    </row>
    <row r="138" spans="1:15" ht="13.5" customHeight="1">
      <c r="A138" s="273">
        <v>2</v>
      </c>
      <c r="B138" s="293" t="s">
        <v>134</v>
      </c>
      <c r="C138" s="20">
        <v>3161265</v>
      </c>
      <c r="D138" s="20">
        <v>2823641.7155558243</v>
      </c>
      <c r="E138" s="253">
        <f t="shared" si="16"/>
        <v>0.8931999422876046</v>
      </c>
      <c r="H138" s="52"/>
      <c r="I138" s="34">
        <v>1992405</v>
      </c>
      <c r="J138" s="34">
        <v>1168860</v>
      </c>
      <c r="K138" s="34">
        <f aca="true" t="shared" si="17" ref="K138:K144">SUM(I138:J138)</f>
        <v>3161265</v>
      </c>
      <c r="M138" s="20">
        <v>1769387.3142263223</v>
      </c>
      <c r="N138" s="20">
        <v>1054254.4013295018</v>
      </c>
      <c r="O138" s="20">
        <f aca="true" t="shared" si="18" ref="O138:O144">SUM(M138:N138)</f>
        <v>2823641.7155558243</v>
      </c>
    </row>
    <row r="139" spans="1:15" ht="13.5" customHeight="1">
      <c r="A139" s="273">
        <v>3</v>
      </c>
      <c r="B139" s="293" t="s">
        <v>135</v>
      </c>
      <c r="C139" s="20">
        <v>2521800</v>
      </c>
      <c r="D139" s="20">
        <v>2337379.620980896</v>
      </c>
      <c r="E139" s="253">
        <f t="shared" si="16"/>
        <v>0.9268695459516599</v>
      </c>
      <c r="H139" s="53"/>
      <c r="I139" s="34">
        <v>1733760</v>
      </c>
      <c r="J139" s="34">
        <v>788040</v>
      </c>
      <c r="K139" s="34">
        <f t="shared" si="17"/>
        <v>2521800</v>
      </c>
      <c r="M139" s="20">
        <v>1602357.7523190856</v>
      </c>
      <c r="N139" s="20">
        <v>735021.8686618103</v>
      </c>
      <c r="O139" s="20">
        <f t="shared" si="18"/>
        <v>2337379.620980896</v>
      </c>
    </row>
    <row r="140" spans="1:15" ht="13.5" customHeight="1">
      <c r="A140" s="273">
        <v>4</v>
      </c>
      <c r="B140" s="293" t="s">
        <v>136</v>
      </c>
      <c r="C140" s="20">
        <v>5171330</v>
      </c>
      <c r="D140" s="20">
        <v>4860039.896434241</v>
      </c>
      <c r="E140" s="253">
        <f t="shared" si="16"/>
        <v>0.9398046337082029</v>
      </c>
      <c r="H140" s="53"/>
      <c r="I140" s="34">
        <v>3953850</v>
      </c>
      <c r="J140" s="34">
        <v>1217480</v>
      </c>
      <c r="K140" s="34">
        <f t="shared" si="17"/>
        <v>5171330</v>
      </c>
      <c r="M140" s="20">
        <v>3606337.1478757965</v>
      </c>
      <c r="N140" s="20">
        <v>1253702.7485584442</v>
      </c>
      <c r="O140" s="20">
        <f t="shared" si="18"/>
        <v>4860039.896434241</v>
      </c>
    </row>
    <row r="141" spans="1:15" ht="13.5" customHeight="1">
      <c r="A141" s="273">
        <v>5</v>
      </c>
      <c r="B141" s="293" t="s">
        <v>137</v>
      </c>
      <c r="C141" s="20">
        <v>5799370</v>
      </c>
      <c r="D141" s="20">
        <v>5431473.752675388</v>
      </c>
      <c r="E141" s="253">
        <f t="shared" si="16"/>
        <v>0.9365627219293454</v>
      </c>
      <c r="H141" s="53"/>
      <c r="I141" s="34">
        <v>4051030</v>
      </c>
      <c r="J141" s="34">
        <v>1748340</v>
      </c>
      <c r="K141" s="34">
        <f t="shared" si="17"/>
        <v>5799370</v>
      </c>
      <c r="M141" s="20">
        <v>3733955.240119528</v>
      </c>
      <c r="N141" s="20">
        <v>1697518.51255586</v>
      </c>
      <c r="O141" s="20">
        <f t="shared" si="18"/>
        <v>5431473.752675388</v>
      </c>
    </row>
    <row r="142" spans="1:15" ht="13.5" customHeight="1">
      <c r="A142" s="273">
        <v>6</v>
      </c>
      <c r="B142" s="293" t="s">
        <v>138</v>
      </c>
      <c r="C142" s="20">
        <v>3532655</v>
      </c>
      <c r="D142" s="20">
        <v>3024584.041799882</v>
      </c>
      <c r="E142" s="253">
        <f t="shared" si="16"/>
        <v>0.856178721613031</v>
      </c>
      <c r="H142" s="53"/>
      <c r="I142" s="34">
        <v>2539795</v>
      </c>
      <c r="J142" s="34">
        <v>992860</v>
      </c>
      <c r="K142" s="34">
        <f t="shared" si="17"/>
        <v>3532655</v>
      </c>
      <c r="M142" s="20">
        <v>2191277.713290893</v>
      </c>
      <c r="N142" s="20">
        <v>833306.328508989</v>
      </c>
      <c r="O142" s="20">
        <f t="shared" si="18"/>
        <v>3024584.041799882</v>
      </c>
    </row>
    <row r="143" spans="1:15" ht="13.5" customHeight="1">
      <c r="A143" s="273">
        <v>7</v>
      </c>
      <c r="B143" s="293" t="s">
        <v>139</v>
      </c>
      <c r="C143" s="20">
        <v>2421305</v>
      </c>
      <c r="D143" s="20">
        <v>2093675.6000015968</v>
      </c>
      <c r="E143" s="253">
        <f t="shared" si="16"/>
        <v>0.8646889177536894</v>
      </c>
      <c r="H143" s="53"/>
      <c r="I143" s="34">
        <v>1798045</v>
      </c>
      <c r="J143" s="34">
        <v>623260</v>
      </c>
      <c r="K143" s="34">
        <f t="shared" si="17"/>
        <v>2421305</v>
      </c>
      <c r="M143" s="20">
        <v>1548120.0631155</v>
      </c>
      <c r="N143" s="20">
        <v>545555.5368860968</v>
      </c>
      <c r="O143" s="20">
        <f t="shared" si="18"/>
        <v>2093675.6000015968</v>
      </c>
    </row>
    <row r="144" spans="1:15" ht="13.5" customHeight="1" thickBot="1">
      <c r="A144" s="273">
        <v>8</v>
      </c>
      <c r="B144" s="293" t="s">
        <v>140</v>
      </c>
      <c r="C144" s="20">
        <v>1488790</v>
      </c>
      <c r="D144" s="20">
        <v>1357202.262423717</v>
      </c>
      <c r="E144" s="253">
        <f t="shared" si="16"/>
        <v>0.9116143058616171</v>
      </c>
      <c r="H144" s="53"/>
      <c r="I144" s="37">
        <v>887090</v>
      </c>
      <c r="J144" s="37">
        <v>601700</v>
      </c>
      <c r="K144" s="37">
        <f t="shared" si="17"/>
        <v>1488790</v>
      </c>
      <c r="M144" s="184">
        <v>805120.0231258932</v>
      </c>
      <c r="N144" s="184">
        <v>552082.2392978236</v>
      </c>
      <c r="O144" s="184">
        <f t="shared" si="18"/>
        <v>1357202.262423717</v>
      </c>
    </row>
    <row r="145" spans="1:15" s="13" customFormat="1" ht="13.5" customHeight="1" thickBot="1">
      <c r="A145" s="306"/>
      <c r="B145" s="295" t="s">
        <v>56</v>
      </c>
      <c r="C145" s="308">
        <v>30151630</v>
      </c>
      <c r="D145" s="308">
        <v>27395789.440000005</v>
      </c>
      <c r="E145" s="310">
        <f t="shared" si="16"/>
        <v>0.9086006109785775</v>
      </c>
      <c r="H145" s="54"/>
      <c r="I145" s="140">
        <v>20870050</v>
      </c>
      <c r="J145" s="141">
        <v>9281580</v>
      </c>
      <c r="K145" s="142">
        <f>SUM(K137:K144)</f>
        <v>30151630</v>
      </c>
      <c r="M145" s="185">
        <v>18778814.6</v>
      </c>
      <c r="N145" s="186">
        <v>8616974.840000004</v>
      </c>
      <c r="O145" s="187">
        <f>SUM(O137:O144)</f>
        <v>27395789.440000005</v>
      </c>
    </row>
    <row r="146" spans="1:11" s="122" customFormat="1" ht="13.5" customHeight="1">
      <c r="A146" s="197"/>
      <c r="B146" s="198"/>
      <c r="C146" s="202"/>
      <c r="D146" s="202"/>
      <c r="E146" s="203"/>
      <c r="H146" s="123"/>
      <c r="J146" s="124"/>
      <c r="K146" s="124"/>
    </row>
    <row r="147" spans="1:11" s="122" customFormat="1" ht="13.5" customHeight="1">
      <c r="A147" s="197"/>
      <c r="B147" s="198"/>
      <c r="C147" s="202"/>
      <c r="D147" s="202"/>
      <c r="E147" s="203"/>
      <c r="F147" s="204"/>
      <c r="G147" s="204"/>
      <c r="H147" s="123"/>
      <c r="J147" s="124"/>
      <c r="K147" s="124"/>
    </row>
    <row r="148" spans="1:11" s="13" customFormat="1" ht="13.5" customHeight="1">
      <c r="A148" s="324"/>
      <c r="B148" s="56"/>
      <c r="C148" s="325"/>
      <c r="D148" s="325"/>
      <c r="E148" s="326"/>
      <c r="G148" s="195"/>
      <c r="H148" s="54"/>
      <c r="J148" s="55"/>
      <c r="K148" s="55"/>
    </row>
    <row r="149" spans="1:7" ht="15.75" customHeight="1">
      <c r="A149" s="327" t="s">
        <v>179</v>
      </c>
      <c r="B149" s="328"/>
      <c r="C149" s="328"/>
      <c r="D149" s="328"/>
      <c r="E149" s="329"/>
      <c r="G149" s="194"/>
    </row>
    <row r="150" spans="1:7" ht="12.75">
      <c r="A150" s="13"/>
      <c r="G150" s="194"/>
    </row>
    <row r="151" spans="1:7" ht="15">
      <c r="A151" s="14" t="s">
        <v>98</v>
      </c>
      <c r="B151" s="234"/>
      <c r="C151" s="234"/>
      <c r="D151" s="234"/>
      <c r="G151" s="194"/>
    </row>
    <row r="152" spans="1:7" ht="13.5" thickBot="1">
      <c r="A152" s="13"/>
      <c r="G152" s="194"/>
    </row>
    <row r="153" spans="1:7" ht="33.75" customHeight="1">
      <c r="A153" s="262" t="s">
        <v>32</v>
      </c>
      <c r="B153" s="263" t="s">
        <v>180</v>
      </c>
      <c r="C153" s="330" t="s">
        <v>51</v>
      </c>
      <c r="D153" s="330" t="s">
        <v>52</v>
      </c>
      <c r="E153" s="330" t="s">
        <v>30</v>
      </c>
      <c r="F153" s="331" t="s">
        <v>31</v>
      </c>
      <c r="G153" s="194"/>
    </row>
    <row r="154" spans="1:7" s="18" customFormat="1" ht="16.5" customHeight="1">
      <c r="A154" s="290">
        <v>1</v>
      </c>
      <c r="B154" s="291">
        <v>2</v>
      </c>
      <c r="C154" s="332">
        <v>3</v>
      </c>
      <c r="D154" s="332">
        <v>4</v>
      </c>
      <c r="E154" s="332" t="s">
        <v>57</v>
      </c>
      <c r="F154" s="333">
        <v>6</v>
      </c>
      <c r="G154" s="206"/>
    </row>
    <row r="155" spans="1:10" ht="32.25" customHeight="1">
      <c r="A155" s="265">
        <v>1</v>
      </c>
      <c r="B155" s="249" t="s">
        <v>249</v>
      </c>
      <c r="C155" s="334">
        <v>33.49</v>
      </c>
      <c r="D155" s="133">
        <v>33.49</v>
      </c>
      <c r="E155" s="335">
        <f>D155-C155</f>
        <v>0</v>
      </c>
      <c r="F155" s="336"/>
      <c r="G155" s="194"/>
      <c r="I155" s="190"/>
      <c r="J155" s="190"/>
    </row>
    <row r="156" spans="1:10" ht="25.5">
      <c r="A156" s="265">
        <v>2</v>
      </c>
      <c r="B156" s="249" t="s">
        <v>276</v>
      </c>
      <c r="C156" s="334">
        <v>3479.65</v>
      </c>
      <c r="D156" s="133">
        <v>3479.65</v>
      </c>
      <c r="E156" s="335">
        <f>D156-C156</f>
        <v>0</v>
      </c>
      <c r="F156" s="274">
        <f>E156/C156</f>
        <v>0</v>
      </c>
      <c r="G156" s="194"/>
      <c r="H156" s="4" t="s">
        <v>107</v>
      </c>
      <c r="I156" s="190"/>
      <c r="J156" s="190"/>
    </row>
    <row r="157" spans="1:10" ht="26.25" thickBot="1">
      <c r="A157" s="268">
        <v>3</v>
      </c>
      <c r="B157" s="256" t="s">
        <v>250</v>
      </c>
      <c r="C157" s="337">
        <v>3445.74</v>
      </c>
      <c r="D157" s="338">
        <v>3445.74</v>
      </c>
      <c r="E157" s="339">
        <f>D157-C157</f>
        <v>0</v>
      </c>
      <c r="F157" s="340"/>
      <c r="G157" s="194"/>
      <c r="I157" s="190"/>
      <c r="J157" s="190"/>
    </row>
    <row r="158" ht="12.75">
      <c r="A158" s="18"/>
    </row>
    <row r="159" spans="1:6" ht="12.75">
      <c r="A159" s="33"/>
      <c r="F159" s="57"/>
    </row>
    <row r="160" spans="1:6" ht="15">
      <c r="A160" s="58" t="s">
        <v>99</v>
      </c>
      <c r="B160" s="59"/>
      <c r="C160" s="59"/>
      <c r="D160" s="59"/>
      <c r="E160" s="60"/>
      <c r="F160" s="61"/>
    </row>
    <row r="161" spans="1:6" ht="12.75">
      <c r="A161" s="61"/>
      <c r="B161" s="61"/>
      <c r="C161" s="61"/>
      <c r="D161" s="61"/>
      <c r="E161" s="62"/>
      <c r="F161" s="61"/>
    </row>
    <row r="162" spans="1:7" ht="15">
      <c r="A162" s="14" t="s">
        <v>334</v>
      </c>
      <c r="B162" s="46"/>
      <c r="C162" s="63"/>
      <c r="D162" s="46"/>
      <c r="E162" s="46"/>
      <c r="F162" s="46"/>
      <c r="G162" s="48"/>
    </row>
    <row r="163" spans="1:7" ht="6" customHeight="1">
      <c r="A163" s="13"/>
      <c r="B163" s="48"/>
      <c r="C163" s="64"/>
      <c r="D163" s="48"/>
      <c r="E163" s="48"/>
      <c r="F163" s="48"/>
      <c r="G163" s="48"/>
    </row>
    <row r="164" spans="1:5" ht="13.5" thickBot="1">
      <c r="A164" s="48"/>
      <c r="B164" s="48"/>
      <c r="C164" s="48"/>
      <c r="D164" s="48"/>
      <c r="E164" s="341" t="s">
        <v>331</v>
      </c>
    </row>
    <row r="165" spans="1:17" ht="40.5" customHeight="1">
      <c r="A165" s="342" t="s">
        <v>26</v>
      </c>
      <c r="B165" s="343" t="s">
        <v>27</v>
      </c>
      <c r="C165" s="344" t="s">
        <v>277</v>
      </c>
      <c r="D165" s="344" t="s">
        <v>335</v>
      </c>
      <c r="E165" s="345" t="s">
        <v>278</v>
      </c>
      <c r="F165" s="65"/>
      <c r="G165" s="66"/>
      <c r="I165" s="144" t="s">
        <v>203</v>
      </c>
      <c r="J165" s="145" t="s">
        <v>223</v>
      </c>
      <c r="K165" s="146" t="s">
        <v>3</v>
      </c>
      <c r="L165" s="144" t="s">
        <v>203</v>
      </c>
      <c r="M165" s="145" t="s">
        <v>223</v>
      </c>
      <c r="N165" s="146" t="s">
        <v>3</v>
      </c>
      <c r="O165" s="144" t="s">
        <v>203</v>
      </c>
      <c r="P165" s="145" t="s">
        <v>223</v>
      </c>
      <c r="Q165" s="146" t="s">
        <v>3</v>
      </c>
    </row>
    <row r="166" spans="1:17" s="33" customFormat="1" ht="11.25" customHeight="1">
      <c r="A166" s="346">
        <v>1</v>
      </c>
      <c r="B166" s="347">
        <v>2</v>
      </c>
      <c r="C166" s="348">
        <v>3</v>
      </c>
      <c r="D166" s="348">
        <v>4</v>
      </c>
      <c r="E166" s="349">
        <v>5</v>
      </c>
      <c r="F166" s="67"/>
      <c r="G166" s="68"/>
      <c r="I166" s="560" t="s">
        <v>228</v>
      </c>
      <c r="J166" s="561"/>
      <c r="K166" s="562"/>
      <c r="L166" s="560" t="s">
        <v>33</v>
      </c>
      <c r="M166" s="561"/>
      <c r="N166" s="562"/>
      <c r="O166" s="560" t="s">
        <v>229</v>
      </c>
      <c r="P166" s="561"/>
      <c r="Q166" s="562"/>
    </row>
    <row r="167" spans="1:17" ht="12.75">
      <c r="A167" s="350">
        <v>1</v>
      </c>
      <c r="B167" s="293" t="s">
        <v>133</v>
      </c>
      <c r="C167" s="351">
        <v>712.57</v>
      </c>
      <c r="D167" s="351">
        <v>6.83</v>
      </c>
      <c r="E167" s="352">
        <f aca="true" t="shared" si="19" ref="E167:E175">D167/C167</f>
        <v>0.009585023225788343</v>
      </c>
      <c r="F167" s="22"/>
      <c r="G167" s="69"/>
      <c r="H167" s="22"/>
      <c r="I167" s="147">
        <v>3.92</v>
      </c>
      <c r="J167" s="133">
        <v>2.91</v>
      </c>
      <c r="K167" s="152">
        <f aca="true" t="shared" si="20" ref="K167:K174">SUM(I167:J167)</f>
        <v>6.83</v>
      </c>
      <c r="L167" s="147">
        <v>391.41</v>
      </c>
      <c r="M167" s="133">
        <v>321.16</v>
      </c>
      <c r="N167" s="152">
        <f aca="true" t="shared" si="21" ref="N167:N174">SUM(L167:M167)</f>
        <v>712.57</v>
      </c>
      <c r="O167" s="147">
        <v>387.48</v>
      </c>
      <c r="P167" s="133">
        <v>318.26</v>
      </c>
      <c r="Q167" s="152">
        <f aca="true" t="shared" si="22" ref="Q167:Q174">SUM(O167:P167)</f>
        <v>705.74</v>
      </c>
    </row>
    <row r="168" spans="1:17" ht="12.75">
      <c r="A168" s="350">
        <v>2</v>
      </c>
      <c r="B168" s="293" t="s">
        <v>134</v>
      </c>
      <c r="C168" s="351">
        <v>374.57000000000005</v>
      </c>
      <c r="D168" s="351">
        <v>3.58</v>
      </c>
      <c r="E168" s="352">
        <f t="shared" si="19"/>
        <v>0.009557626077902661</v>
      </c>
      <c r="F168" s="22"/>
      <c r="G168" s="69"/>
      <c r="H168" s="22"/>
      <c r="I168" s="147">
        <v>2</v>
      </c>
      <c r="J168" s="133">
        <v>1.58</v>
      </c>
      <c r="K168" s="152">
        <f t="shared" si="20"/>
        <v>3.58</v>
      </c>
      <c r="L168" s="147">
        <v>199.24</v>
      </c>
      <c r="M168" s="133">
        <v>175.33</v>
      </c>
      <c r="N168" s="152">
        <f t="shared" si="21"/>
        <v>374.57000000000005</v>
      </c>
      <c r="O168" s="147">
        <v>197.24</v>
      </c>
      <c r="P168" s="133">
        <v>173.75</v>
      </c>
      <c r="Q168" s="152">
        <f t="shared" si="22"/>
        <v>370.99</v>
      </c>
    </row>
    <row r="169" spans="1:17" ht="12.75">
      <c r="A169" s="350">
        <v>3</v>
      </c>
      <c r="B169" s="293" t="s">
        <v>135</v>
      </c>
      <c r="C169" s="351">
        <v>291.59</v>
      </c>
      <c r="D169" s="351">
        <v>2.81</v>
      </c>
      <c r="E169" s="352">
        <f t="shared" si="19"/>
        <v>0.009636818820947222</v>
      </c>
      <c r="F169" s="22"/>
      <c r="G169" s="69"/>
      <c r="H169" s="22"/>
      <c r="I169" s="147">
        <v>1.74</v>
      </c>
      <c r="J169" s="133">
        <v>1.07</v>
      </c>
      <c r="K169" s="152">
        <f t="shared" si="20"/>
        <v>2.81</v>
      </c>
      <c r="L169" s="147">
        <v>173.38</v>
      </c>
      <c r="M169" s="133">
        <v>118.21</v>
      </c>
      <c r="N169" s="152">
        <f t="shared" si="21"/>
        <v>291.59</v>
      </c>
      <c r="O169" s="147">
        <v>171.64</v>
      </c>
      <c r="P169" s="133">
        <v>117.14</v>
      </c>
      <c r="Q169" s="152">
        <f t="shared" si="22"/>
        <v>288.78</v>
      </c>
    </row>
    <row r="170" spans="1:17" ht="12.75">
      <c r="A170" s="350">
        <v>4</v>
      </c>
      <c r="B170" s="293" t="s">
        <v>136</v>
      </c>
      <c r="C170" s="351">
        <v>578.01</v>
      </c>
      <c r="D170" s="351">
        <v>5.609999999999999</v>
      </c>
      <c r="E170" s="352">
        <f t="shared" si="19"/>
        <v>0.009705714434006332</v>
      </c>
      <c r="F170" s="22"/>
      <c r="G170" s="69"/>
      <c r="H170" s="22"/>
      <c r="I170" s="147">
        <v>3.96</v>
      </c>
      <c r="J170" s="133">
        <v>1.65</v>
      </c>
      <c r="K170" s="152">
        <f t="shared" si="20"/>
        <v>5.609999999999999</v>
      </c>
      <c r="L170" s="147">
        <v>395.39</v>
      </c>
      <c r="M170" s="133">
        <v>182.62</v>
      </c>
      <c r="N170" s="152">
        <f t="shared" si="21"/>
        <v>578.01</v>
      </c>
      <c r="O170" s="147">
        <v>391.42</v>
      </c>
      <c r="P170" s="133">
        <v>180.97</v>
      </c>
      <c r="Q170" s="152">
        <f t="shared" si="22"/>
        <v>572.39</v>
      </c>
    </row>
    <row r="171" spans="1:17" ht="12.75">
      <c r="A171" s="350">
        <v>5</v>
      </c>
      <c r="B171" s="293" t="s">
        <v>137</v>
      </c>
      <c r="C171" s="351">
        <v>667.35</v>
      </c>
      <c r="D171" s="351">
        <v>6.43</v>
      </c>
      <c r="E171" s="352">
        <f t="shared" si="19"/>
        <v>0.009635123997902149</v>
      </c>
      <c r="F171" s="22"/>
      <c r="G171" s="69"/>
      <c r="H171" s="22"/>
      <c r="I171" s="147">
        <v>4.06</v>
      </c>
      <c r="J171" s="133">
        <v>2.37</v>
      </c>
      <c r="K171" s="152">
        <f t="shared" si="20"/>
        <v>6.43</v>
      </c>
      <c r="L171" s="147">
        <v>405.1</v>
      </c>
      <c r="M171" s="133">
        <v>262.25</v>
      </c>
      <c r="N171" s="152">
        <f t="shared" si="21"/>
        <v>667.35</v>
      </c>
      <c r="O171" s="147">
        <v>401.04</v>
      </c>
      <c r="P171" s="133">
        <v>259.88</v>
      </c>
      <c r="Q171" s="152">
        <f t="shared" si="22"/>
        <v>660.9200000000001</v>
      </c>
    </row>
    <row r="172" spans="1:17" ht="12.75">
      <c r="A172" s="350">
        <v>6</v>
      </c>
      <c r="B172" s="293" t="s">
        <v>138</v>
      </c>
      <c r="C172" s="351">
        <v>402.90999999999997</v>
      </c>
      <c r="D172" s="351">
        <v>3.8899999999999997</v>
      </c>
      <c r="E172" s="352">
        <f t="shared" si="19"/>
        <v>0.009654761609292397</v>
      </c>
      <c r="F172" s="22"/>
      <c r="G172" s="69"/>
      <c r="H172" s="22"/>
      <c r="I172" s="147">
        <v>2.55</v>
      </c>
      <c r="J172" s="133">
        <v>1.34</v>
      </c>
      <c r="K172" s="152">
        <f t="shared" si="20"/>
        <v>3.8899999999999997</v>
      </c>
      <c r="L172" s="147">
        <v>253.98</v>
      </c>
      <c r="M172" s="133">
        <v>148.93</v>
      </c>
      <c r="N172" s="152">
        <f t="shared" si="21"/>
        <v>402.90999999999997</v>
      </c>
      <c r="O172" s="147">
        <v>251.43</v>
      </c>
      <c r="P172" s="133">
        <v>147.58</v>
      </c>
      <c r="Q172" s="152">
        <f t="shared" si="22"/>
        <v>399.01</v>
      </c>
    </row>
    <row r="173" spans="1:17" ht="12.75">
      <c r="A173" s="350">
        <v>7</v>
      </c>
      <c r="B173" s="293" t="s">
        <v>139</v>
      </c>
      <c r="C173" s="351">
        <v>273.29</v>
      </c>
      <c r="D173" s="351">
        <v>2.64</v>
      </c>
      <c r="E173" s="352">
        <f t="shared" si="19"/>
        <v>0.009660068059570419</v>
      </c>
      <c r="F173" s="22"/>
      <c r="G173" s="69"/>
      <c r="H173" s="22"/>
      <c r="I173" s="147">
        <v>1.8</v>
      </c>
      <c r="J173" s="133">
        <v>0.84</v>
      </c>
      <c r="K173" s="152">
        <f t="shared" si="20"/>
        <v>2.64</v>
      </c>
      <c r="L173" s="147">
        <v>179.8</v>
      </c>
      <c r="M173" s="133">
        <v>93.49</v>
      </c>
      <c r="N173" s="152">
        <f t="shared" si="21"/>
        <v>273.29</v>
      </c>
      <c r="O173" s="147">
        <v>178</v>
      </c>
      <c r="P173" s="133">
        <v>92.65</v>
      </c>
      <c r="Q173" s="152">
        <f t="shared" si="22"/>
        <v>270.65</v>
      </c>
    </row>
    <row r="174" spans="1:17" ht="13.5" thickBot="1">
      <c r="A174" s="350">
        <v>8</v>
      </c>
      <c r="B174" s="293" t="s">
        <v>140</v>
      </c>
      <c r="C174" s="351">
        <v>178.97</v>
      </c>
      <c r="D174" s="351">
        <v>1.7000000000000002</v>
      </c>
      <c r="E174" s="352">
        <f t="shared" si="19"/>
        <v>0.009498798681343243</v>
      </c>
      <c r="F174" s="22"/>
      <c r="G174" s="69"/>
      <c r="H174" s="22"/>
      <c r="I174" s="148">
        <v>0.89</v>
      </c>
      <c r="J174" s="150">
        <v>0.81</v>
      </c>
      <c r="K174" s="153">
        <f t="shared" si="20"/>
        <v>1.7000000000000002</v>
      </c>
      <c r="L174" s="148">
        <v>88.71</v>
      </c>
      <c r="M174" s="150">
        <v>90.26</v>
      </c>
      <c r="N174" s="153">
        <f t="shared" si="21"/>
        <v>178.97</v>
      </c>
      <c r="O174" s="148">
        <v>87.82</v>
      </c>
      <c r="P174" s="150">
        <v>89.44</v>
      </c>
      <c r="Q174" s="153">
        <f t="shared" si="22"/>
        <v>177.26</v>
      </c>
    </row>
    <row r="175" spans="1:17" s="13" customFormat="1" ht="15.75" thickBot="1">
      <c r="A175" s="353"/>
      <c r="B175" s="354" t="s">
        <v>56</v>
      </c>
      <c r="C175" s="355">
        <v>3479.2599999999998</v>
      </c>
      <c r="D175" s="355">
        <v>33.49</v>
      </c>
      <c r="E175" s="356">
        <f t="shared" si="19"/>
        <v>0.009625610043515002</v>
      </c>
      <c r="F175" s="70"/>
      <c r="G175" s="71"/>
      <c r="H175" s="70"/>
      <c r="I175" s="149">
        <v>20.92</v>
      </c>
      <c r="J175" s="151">
        <v>12.57</v>
      </c>
      <c r="K175" s="154">
        <f>SUM(K167:K174)</f>
        <v>33.49</v>
      </c>
      <c r="L175" s="140">
        <v>2087.01</v>
      </c>
      <c r="M175" s="151">
        <v>1392.24</v>
      </c>
      <c r="N175" s="154">
        <f>SUM(N167:N174)</f>
        <v>3479.2599999999998</v>
      </c>
      <c r="O175" s="140">
        <v>2066.07</v>
      </c>
      <c r="P175" s="151">
        <v>1379.67</v>
      </c>
      <c r="Q175" s="154">
        <f>SUM(Q167:Q174)</f>
        <v>3445.74</v>
      </c>
    </row>
    <row r="176" spans="1:8" ht="15">
      <c r="A176" s="72"/>
      <c r="B176" s="56"/>
      <c r="C176" s="69"/>
      <c r="D176" s="22"/>
      <c r="E176" s="357"/>
      <c r="F176" s="22"/>
      <c r="G176" s="69"/>
      <c r="H176" s="22"/>
    </row>
    <row r="177" spans="1:8" ht="15">
      <c r="A177" s="14" t="s">
        <v>337</v>
      </c>
      <c r="B177" s="45"/>
      <c r="C177" s="358"/>
      <c r="D177" s="45"/>
      <c r="E177" s="45"/>
      <c r="F177" s="45"/>
      <c r="G177" s="47"/>
      <c r="H177" s="13"/>
    </row>
    <row r="178" spans="1:5" ht="13.5" thickBot="1">
      <c r="A178" s="48"/>
      <c r="B178" s="48"/>
      <c r="C178" s="48"/>
      <c r="D178" s="48"/>
      <c r="E178" s="341" t="s">
        <v>331</v>
      </c>
    </row>
    <row r="179" spans="1:11" ht="41.25" customHeight="1">
      <c r="A179" s="316" t="s">
        <v>26</v>
      </c>
      <c r="B179" s="317" t="s">
        <v>27</v>
      </c>
      <c r="C179" s="317" t="str">
        <f>C165</f>
        <v>Allocation for 2017-18                          </v>
      </c>
      <c r="D179" s="317" t="s">
        <v>336</v>
      </c>
      <c r="E179" s="317" t="s">
        <v>279</v>
      </c>
      <c r="F179" s="65"/>
      <c r="G179" s="66"/>
      <c r="I179" s="144" t="s">
        <v>203</v>
      </c>
      <c r="J179" s="145" t="s">
        <v>223</v>
      </c>
      <c r="K179" s="146" t="s">
        <v>3</v>
      </c>
    </row>
    <row r="180" spans="1:11" s="33" customFormat="1" ht="11.25" customHeight="1">
      <c r="A180" s="346">
        <v>1</v>
      </c>
      <c r="B180" s="347">
        <v>2</v>
      </c>
      <c r="C180" s="348">
        <v>3</v>
      </c>
      <c r="D180" s="348">
        <v>4</v>
      </c>
      <c r="E180" s="349">
        <v>5</v>
      </c>
      <c r="F180" s="67"/>
      <c r="G180" s="68"/>
      <c r="I180" s="560" t="s">
        <v>230</v>
      </c>
      <c r="J180" s="561"/>
      <c r="K180" s="562"/>
    </row>
    <row r="181" spans="1:11" ht="12.75">
      <c r="A181" s="350">
        <v>1</v>
      </c>
      <c r="B181" s="293" t="s">
        <v>133</v>
      </c>
      <c r="C181" s="351">
        <v>712.57</v>
      </c>
      <c r="D181" s="351">
        <v>50.39</v>
      </c>
      <c r="E181" s="352">
        <f aca="true" t="shared" si="23" ref="E181:E189">D181/C181</f>
        <v>0.0707158594945058</v>
      </c>
      <c r="I181" s="147">
        <v>27.08</v>
      </c>
      <c r="J181" s="133">
        <v>23.31</v>
      </c>
      <c r="K181" s="152">
        <f aca="true" t="shared" si="24" ref="K181:K188">SUM(I181:J181)</f>
        <v>50.39</v>
      </c>
    </row>
    <row r="182" spans="1:11" ht="12.75">
      <c r="A182" s="350">
        <v>2</v>
      </c>
      <c r="B182" s="293" t="s">
        <v>134</v>
      </c>
      <c r="C182" s="351">
        <v>374.57000000000005</v>
      </c>
      <c r="D182" s="351">
        <v>26.509999999999998</v>
      </c>
      <c r="E182" s="352">
        <f t="shared" si="23"/>
        <v>0.07077448807966467</v>
      </c>
      <c r="I182" s="147">
        <v>13.79</v>
      </c>
      <c r="J182" s="133">
        <v>12.72</v>
      </c>
      <c r="K182" s="152">
        <f t="shared" si="24"/>
        <v>26.509999999999998</v>
      </c>
    </row>
    <row r="183" spans="1:11" ht="12.75">
      <c r="A183" s="350">
        <v>3</v>
      </c>
      <c r="B183" s="293" t="s">
        <v>135</v>
      </c>
      <c r="C183" s="351">
        <v>291.59</v>
      </c>
      <c r="D183" s="351">
        <v>20.58</v>
      </c>
      <c r="E183" s="352">
        <f t="shared" si="23"/>
        <v>0.07057855207654584</v>
      </c>
      <c r="I183" s="147">
        <v>12</v>
      </c>
      <c r="J183" s="133">
        <v>8.58</v>
      </c>
      <c r="K183" s="152">
        <f t="shared" si="24"/>
        <v>20.58</v>
      </c>
    </row>
    <row r="184" spans="1:11" ht="12.75">
      <c r="A184" s="350">
        <v>4</v>
      </c>
      <c r="B184" s="293" t="s">
        <v>136</v>
      </c>
      <c r="C184" s="351">
        <v>578.01</v>
      </c>
      <c r="D184" s="351">
        <v>40.6</v>
      </c>
      <c r="E184" s="352">
        <f t="shared" si="23"/>
        <v>0.07024099929066971</v>
      </c>
      <c r="I184" s="147">
        <v>27.35</v>
      </c>
      <c r="J184" s="133">
        <v>13.25</v>
      </c>
      <c r="K184" s="152">
        <f t="shared" si="24"/>
        <v>40.6</v>
      </c>
    </row>
    <row r="185" spans="1:11" ht="12.75">
      <c r="A185" s="350">
        <v>5</v>
      </c>
      <c r="B185" s="293" t="s">
        <v>137</v>
      </c>
      <c r="C185" s="351">
        <v>667.35</v>
      </c>
      <c r="D185" s="351">
        <v>47.06</v>
      </c>
      <c r="E185" s="352">
        <f t="shared" si="23"/>
        <v>0.07051771933767888</v>
      </c>
      <c r="I185" s="147">
        <v>28.03</v>
      </c>
      <c r="J185" s="133">
        <v>19.03</v>
      </c>
      <c r="K185" s="152">
        <f t="shared" si="24"/>
        <v>47.06</v>
      </c>
    </row>
    <row r="186" spans="1:11" ht="12.75">
      <c r="A186" s="350">
        <v>6</v>
      </c>
      <c r="B186" s="293" t="s">
        <v>138</v>
      </c>
      <c r="C186" s="351">
        <v>402.90999999999997</v>
      </c>
      <c r="D186" s="351">
        <v>28.38</v>
      </c>
      <c r="E186" s="352">
        <f t="shared" si="23"/>
        <v>0.0704375667022412</v>
      </c>
      <c r="I186" s="147">
        <v>17.58</v>
      </c>
      <c r="J186" s="133">
        <v>10.8</v>
      </c>
      <c r="K186" s="152">
        <f t="shared" si="24"/>
        <v>28.38</v>
      </c>
    </row>
    <row r="187" spans="1:11" ht="12.75">
      <c r="A187" s="350">
        <v>7</v>
      </c>
      <c r="B187" s="293" t="s">
        <v>139</v>
      </c>
      <c r="C187" s="351">
        <v>273.29</v>
      </c>
      <c r="D187" s="351">
        <v>19.22</v>
      </c>
      <c r="E187" s="352">
        <f t="shared" si="23"/>
        <v>0.07032822276702404</v>
      </c>
      <c r="I187" s="147">
        <v>12.44</v>
      </c>
      <c r="J187" s="133">
        <v>6.78</v>
      </c>
      <c r="K187" s="152">
        <f t="shared" si="24"/>
        <v>19.22</v>
      </c>
    </row>
    <row r="188" spans="1:11" ht="13.5" thickBot="1">
      <c r="A188" s="350">
        <v>8</v>
      </c>
      <c r="B188" s="293" t="s">
        <v>140</v>
      </c>
      <c r="C188" s="351">
        <v>178.97</v>
      </c>
      <c r="D188" s="351">
        <v>12.68</v>
      </c>
      <c r="E188" s="352">
        <f t="shared" si="23"/>
        <v>0.07084986310554842</v>
      </c>
      <c r="I188" s="148">
        <v>6.14</v>
      </c>
      <c r="J188" s="150">
        <v>6.54</v>
      </c>
      <c r="K188" s="153">
        <f t="shared" si="24"/>
        <v>12.68</v>
      </c>
    </row>
    <row r="189" spans="1:11" ht="15.75" thickBot="1">
      <c r="A189" s="359"/>
      <c r="B189" s="354" t="s">
        <v>56</v>
      </c>
      <c r="C189" s="355">
        <v>3479.2599999999998</v>
      </c>
      <c r="D189" s="355">
        <v>245.42000000000002</v>
      </c>
      <c r="E189" s="356">
        <f t="shared" si="23"/>
        <v>0.07053798796295765</v>
      </c>
      <c r="I189" s="149">
        <v>144.4</v>
      </c>
      <c r="J189" s="151">
        <v>101.02</v>
      </c>
      <c r="K189" s="154">
        <f>SUM(K181:K188)</f>
        <v>245.42000000000002</v>
      </c>
    </row>
    <row r="190" spans="1:5" ht="15">
      <c r="A190" s="72"/>
      <c r="B190" s="56"/>
      <c r="C190" s="71"/>
      <c r="D190" s="71"/>
      <c r="E190" s="360"/>
    </row>
    <row r="191" spans="1:3" ht="15">
      <c r="A191" s="14" t="s">
        <v>169</v>
      </c>
      <c r="B191" s="13"/>
      <c r="C191" s="13"/>
    </row>
    <row r="192" spans="1:6" ht="15" customHeight="1" thickBot="1">
      <c r="A192" s="13"/>
      <c r="F192" s="361" t="s">
        <v>53</v>
      </c>
    </row>
    <row r="193" spans="1:6" ht="39" customHeight="1">
      <c r="A193" s="316" t="s">
        <v>33</v>
      </c>
      <c r="B193" s="317" t="s">
        <v>332</v>
      </c>
      <c r="C193" s="317" t="s">
        <v>310</v>
      </c>
      <c r="D193" s="317" t="s">
        <v>35</v>
      </c>
      <c r="E193" s="317" t="s">
        <v>36</v>
      </c>
      <c r="F193" s="319" t="s">
        <v>55</v>
      </c>
    </row>
    <row r="194" spans="1:6" ht="15.75" customHeight="1" thickBot="1">
      <c r="A194" s="362">
        <f>C189</f>
        <v>3479.2599999999998</v>
      </c>
      <c r="B194" s="363">
        <f>D209</f>
        <v>33.49</v>
      </c>
      <c r="C194" s="364">
        <f>E209</f>
        <v>3445.74</v>
      </c>
      <c r="D194" s="364">
        <f>B194+C194</f>
        <v>3479.2299999999996</v>
      </c>
      <c r="E194" s="365">
        <f>D194/A194</f>
        <v>0.9999913774768198</v>
      </c>
      <c r="F194" s="366">
        <f>A194*0.85</f>
        <v>2957.3709999999996</v>
      </c>
    </row>
    <row r="195" spans="1:7" ht="12" customHeight="1">
      <c r="A195" s="73" t="s">
        <v>264</v>
      </c>
      <c r="B195" s="74"/>
      <c r="C195" s="367"/>
      <c r="D195" s="367"/>
      <c r="E195" s="368"/>
      <c r="F195" s="77"/>
      <c r="G195" s="78"/>
    </row>
    <row r="196" ht="10.5" customHeight="1"/>
    <row r="197" spans="1:6" ht="15">
      <c r="A197" s="14" t="s">
        <v>311</v>
      </c>
      <c r="B197" s="234"/>
      <c r="C197" s="234"/>
      <c r="D197" s="234"/>
      <c r="E197" s="234"/>
      <c r="F197" s="234"/>
    </row>
    <row r="198" ht="12.75" customHeight="1" thickBot="1">
      <c r="G198" s="361" t="s">
        <v>53</v>
      </c>
    </row>
    <row r="199" spans="1:7" ht="38.25" customHeight="1">
      <c r="A199" s="370" t="s">
        <v>32</v>
      </c>
      <c r="B199" s="371" t="s">
        <v>2</v>
      </c>
      <c r="C199" s="371" t="s">
        <v>152</v>
      </c>
      <c r="D199" s="371" t="s">
        <v>312</v>
      </c>
      <c r="E199" s="371" t="s">
        <v>106</v>
      </c>
      <c r="F199" s="371" t="s">
        <v>35</v>
      </c>
      <c r="G199" s="372" t="s">
        <v>36</v>
      </c>
    </row>
    <row r="200" spans="1:7" s="18" customFormat="1" ht="12.75">
      <c r="A200" s="373">
        <v>1</v>
      </c>
      <c r="B200" s="374">
        <v>2</v>
      </c>
      <c r="C200" s="374">
        <v>3</v>
      </c>
      <c r="D200" s="374">
        <v>4</v>
      </c>
      <c r="E200" s="374">
        <v>5</v>
      </c>
      <c r="F200" s="374">
        <v>6</v>
      </c>
      <c r="G200" s="375">
        <v>7</v>
      </c>
    </row>
    <row r="201" spans="1:12" ht="15" customHeight="1">
      <c r="A201" s="350">
        <v>1</v>
      </c>
      <c r="B201" s="293" t="s">
        <v>133</v>
      </c>
      <c r="C201" s="351">
        <v>712.57</v>
      </c>
      <c r="D201" s="351">
        <v>6.83</v>
      </c>
      <c r="E201" s="376">
        <v>705.74</v>
      </c>
      <c r="F201" s="351">
        <f aca="true" t="shared" si="25" ref="F201:F208">D201+E201</f>
        <v>712.57</v>
      </c>
      <c r="G201" s="369">
        <f>F201/C201</f>
        <v>1</v>
      </c>
      <c r="J201" s="4">
        <v>391.4075</v>
      </c>
      <c r="K201" s="4">
        <v>321.156</v>
      </c>
      <c r="L201" s="4">
        <f>J201+K201</f>
        <v>712.5635</v>
      </c>
    </row>
    <row r="202" spans="1:12" ht="15" customHeight="1">
      <c r="A202" s="350">
        <v>2</v>
      </c>
      <c r="B202" s="293" t="s">
        <v>134</v>
      </c>
      <c r="C202" s="351">
        <v>374.57000000000005</v>
      </c>
      <c r="D202" s="351">
        <v>3.58</v>
      </c>
      <c r="E202" s="376">
        <v>370.99</v>
      </c>
      <c r="F202" s="351">
        <f t="shared" si="25"/>
        <v>374.57</v>
      </c>
      <c r="G202" s="369">
        <f aca="true" t="shared" si="26" ref="G202:G209">F202/C202</f>
        <v>0.9999999999999999</v>
      </c>
      <c r="J202" s="4">
        <v>199.2405</v>
      </c>
      <c r="K202" s="4">
        <v>175.329</v>
      </c>
      <c r="L202" s="4">
        <f aca="true" t="shared" si="27" ref="L202:L209">J202+K202</f>
        <v>374.5695</v>
      </c>
    </row>
    <row r="203" spans="1:12" ht="15" customHeight="1">
      <c r="A203" s="350">
        <v>3</v>
      </c>
      <c r="B203" s="293" t="s">
        <v>135</v>
      </c>
      <c r="C203" s="351">
        <v>291.59</v>
      </c>
      <c r="D203" s="351">
        <v>2.81</v>
      </c>
      <c r="E203" s="376">
        <v>288.78</v>
      </c>
      <c r="F203" s="351">
        <f t="shared" si="25"/>
        <v>291.59</v>
      </c>
      <c r="G203" s="369">
        <f t="shared" si="26"/>
        <v>1</v>
      </c>
      <c r="J203" s="4">
        <v>173.376</v>
      </c>
      <c r="K203" s="4">
        <v>118.206</v>
      </c>
      <c r="L203" s="4">
        <f t="shared" si="27"/>
        <v>291.582</v>
      </c>
    </row>
    <row r="204" spans="1:12" ht="15" customHeight="1">
      <c r="A204" s="350">
        <v>4</v>
      </c>
      <c r="B204" s="293" t="s">
        <v>136</v>
      </c>
      <c r="C204" s="351">
        <v>578.01</v>
      </c>
      <c r="D204" s="351">
        <v>5.609999999999999</v>
      </c>
      <c r="E204" s="376">
        <v>572.39</v>
      </c>
      <c r="F204" s="351">
        <f t="shared" si="25"/>
        <v>578</v>
      </c>
      <c r="G204" s="369">
        <f t="shared" si="26"/>
        <v>0.9999826992612585</v>
      </c>
      <c r="J204" s="4">
        <v>395.385</v>
      </c>
      <c r="K204" s="4">
        <v>182.622</v>
      </c>
      <c r="L204" s="4">
        <f t="shared" si="27"/>
        <v>578.0070000000001</v>
      </c>
    </row>
    <row r="205" spans="1:12" ht="15" customHeight="1">
      <c r="A205" s="350">
        <v>5</v>
      </c>
      <c r="B205" s="293" t="s">
        <v>137</v>
      </c>
      <c r="C205" s="351">
        <v>667.35</v>
      </c>
      <c r="D205" s="351">
        <v>6.43</v>
      </c>
      <c r="E205" s="376">
        <v>660.9200000000001</v>
      </c>
      <c r="F205" s="351">
        <f t="shared" si="25"/>
        <v>667.35</v>
      </c>
      <c r="G205" s="369">
        <f t="shared" si="26"/>
        <v>1</v>
      </c>
      <c r="J205" s="4">
        <v>405.103</v>
      </c>
      <c r="K205" s="4">
        <v>262.251</v>
      </c>
      <c r="L205" s="4">
        <f t="shared" si="27"/>
        <v>667.354</v>
      </c>
    </row>
    <row r="206" spans="1:12" ht="15" customHeight="1">
      <c r="A206" s="350">
        <v>6</v>
      </c>
      <c r="B206" s="293" t="s">
        <v>138</v>
      </c>
      <c r="C206" s="351">
        <v>402.90999999999997</v>
      </c>
      <c r="D206" s="351">
        <v>3.8899999999999997</v>
      </c>
      <c r="E206" s="376">
        <v>399.01</v>
      </c>
      <c r="F206" s="351">
        <f t="shared" si="25"/>
        <v>402.9</v>
      </c>
      <c r="G206" s="369">
        <f t="shared" si="26"/>
        <v>0.9999751805614158</v>
      </c>
      <c r="J206" s="4">
        <v>253.9795</v>
      </c>
      <c r="K206" s="4">
        <v>148.929</v>
      </c>
      <c r="L206" s="4">
        <f t="shared" si="27"/>
        <v>402.9085</v>
      </c>
    </row>
    <row r="207" spans="1:12" ht="15" customHeight="1">
      <c r="A207" s="350">
        <v>7</v>
      </c>
      <c r="B207" s="293" t="s">
        <v>139</v>
      </c>
      <c r="C207" s="351">
        <v>273.29</v>
      </c>
      <c r="D207" s="351">
        <v>2.64</v>
      </c>
      <c r="E207" s="376">
        <v>270.65</v>
      </c>
      <c r="F207" s="351">
        <f t="shared" si="25"/>
        <v>273.28999999999996</v>
      </c>
      <c r="G207" s="369">
        <f t="shared" si="26"/>
        <v>0.9999999999999998</v>
      </c>
      <c r="J207" s="4">
        <v>179.8045</v>
      </c>
      <c r="K207" s="4">
        <v>93.489</v>
      </c>
      <c r="L207" s="4">
        <f t="shared" si="27"/>
        <v>273.2935</v>
      </c>
    </row>
    <row r="208" spans="1:12" ht="15" customHeight="1">
      <c r="A208" s="350">
        <v>8</v>
      </c>
      <c r="B208" s="293" t="s">
        <v>140</v>
      </c>
      <c r="C208" s="351">
        <v>178.97</v>
      </c>
      <c r="D208" s="351">
        <v>1.7000000000000002</v>
      </c>
      <c r="E208" s="376">
        <v>177.26</v>
      </c>
      <c r="F208" s="351">
        <f t="shared" si="25"/>
        <v>178.95999999999998</v>
      </c>
      <c r="G208" s="369">
        <f t="shared" si="26"/>
        <v>0.999944124713639</v>
      </c>
      <c r="J208" s="4">
        <v>88.709</v>
      </c>
      <c r="K208" s="4">
        <v>90.255</v>
      </c>
      <c r="L208" s="4">
        <f t="shared" si="27"/>
        <v>178.964</v>
      </c>
    </row>
    <row r="209" spans="1:12" s="13" customFormat="1" ht="15" customHeight="1" thickBot="1">
      <c r="A209" s="353"/>
      <c r="B209" s="354" t="s">
        <v>56</v>
      </c>
      <c r="C209" s="355">
        <v>3479.2599999999998</v>
      </c>
      <c r="D209" s="355">
        <v>33.49</v>
      </c>
      <c r="E209" s="355">
        <v>3445.74</v>
      </c>
      <c r="F209" s="355">
        <f>SUM(F201:F208)</f>
        <v>3479.23</v>
      </c>
      <c r="G209" s="369">
        <f t="shared" si="26"/>
        <v>0.9999913774768199</v>
      </c>
      <c r="J209" s="13">
        <v>2087.005</v>
      </c>
      <c r="K209" s="4">
        <v>1392.237</v>
      </c>
      <c r="L209" s="4">
        <f t="shared" si="27"/>
        <v>3479.242</v>
      </c>
    </row>
    <row r="210" spans="1:7" ht="15.75" customHeight="1">
      <c r="A210" s="79"/>
      <c r="G210" s="194"/>
    </row>
    <row r="211" spans="1:8" ht="15">
      <c r="A211" s="14" t="s">
        <v>129</v>
      </c>
      <c r="B211" s="234"/>
      <c r="C211" s="234"/>
      <c r="D211" s="234"/>
      <c r="G211" s="194"/>
      <c r="H211" s="24"/>
    </row>
    <row r="212" spans="1:7" ht="6.75" customHeight="1" thickBot="1">
      <c r="A212" s="13"/>
      <c r="G212" s="194"/>
    </row>
    <row r="213" spans="1:7" ht="33.75" customHeight="1">
      <c r="A213" s="262" t="s">
        <v>33</v>
      </c>
      <c r="B213" s="263" t="s">
        <v>172</v>
      </c>
      <c r="C213" s="263" t="s">
        <v>173</v>
      </c>
      <c r="D213" s="263" t="s">
        <v>38</v>
      </c>
      <c r="E213" s="264" t="s">
        <v>37</v>
      </c>
      <c r="G213" s="194"/>
    </row>
    <row r="214" spans="1:7" ht="18.75" customHeight="1" thickBot="1">
      <c r="A214" s="377">
        <f>C209</f>
        <v>3479.2599999999998</v>
      </c>
      <c r="B214" s="338">
        <f>F209</f>
        <v>3479.23</v>
      </c>
      <c r="C214" s="378">
        <f>B214/A214</f>
        <v>0.9999913774768199</v>
      </c>
      <c r="D214" s="338">
        <f>D228</f>
        <v>3233.8100000000004</v>
      </c>
      <c r="E214" s="340">
        <f>D214/A214</f>
        <v>0.9294533895138624</v>
      </c>
      <c r="G214" s="194"/>
    </row>
    <row r="215" spans="1:7" ht="12.75" customHeight="1">
      <c r="A215" s="13"/>
      <c r="G215" s="194"/>
    </row>
    <row r="216" spans="1:7" ht="15">
      <c r="A216" s="379" t="s">
        <v>265</v>
      </c>
      <c r="B216" s="125"/>
      <c r="C216" s="125"/>
      <c r="D216" s="125"/>
      <c r="E216" s="125"/>
      <c r="F216" s="125"/>
      <c r="G216" s="126"/>
    </row>
    <row r="217" spans="1:6" ht="12" customHeight="1" thickBot="1">
      <c r="A217" s="122"/>
      <c r="B217" s="126"/>
      <c r="C217" s="126"/>
      <c r="D217" s="126"/>
      <c r="E217" s="126"/>
      <c r="F217" s="126"/>
    </row>
    <row r="218" spans="1:11" ht="18" customHeight="1">
      <c r="A218" s="380" t="s">
        <v>32</v>
      </c>
      <c r="B218" s="344" t="s">
        <v>2</v>
      </c>
      <c r="C218" s="344" t="s">
        <v>152</v>
      </c>
      <c r="D218" s="344" t="s">
        <v>38</v>
      </c>
      <c r="E218" s="381" t="s">
        <v>37</v>
      </c>
      <c r="F218" s="126"/>
      <c r="I218" s="144" t="s">
        <v>203</v>
      </c>
      <c r="J218" s="145" t="s">
        <v>223</v>
      </c>
      <c r="K218" s="146" t="s">
        <v>3</v>
      </c>
    </row>
    <row r="219" spans="1:11" s="18" customFormat="1" ht="13.5" thickBot="1">
      <c r="A219" s="346">
        <v>1</v>
      </c>
      <c r="B219" s="347">
        <v>2</v>
      </c>
      <c r="C219" s="347">
        <v>3</v>
      </c>
      <c r="D219" s="347">
        <v>4</v>
      </c>
      <c r="E219" s="382">
        <v>5</v>
      </c>
      <c r="F219" s="127"/>
      <c r="I219" s="560" t="s">
        <v>231</v>
      </c>
      <c r="J219" s="561"/>
      <c r="K219" s="562"/>
    </row>
    <row r="220" spans="1:11" ht="15" customHeight="1">
      <c r="A220" s="383">
        <v>1</v>
      </c>
      <c r="B220" s="293" t="s">
        <v>133</v>
      </c>
      <c r="C220" s="384">
        <v>712.57</v>
      </c>
      <c r="D220" s="384">
        <v>662.1700000000001</v>
      </c>
      <c r="E220" s="385">
        <f aca="true" t="shared" si="28" ref="E220:E228">D220/C220</f>
        <v>0.9292701067965253</v>
      </c>
      <c r="F220" s="128"/>
      <c r="I220" s="147">
        <v>364.32</v>
      </c>
      <c r="J220" s="133">
        <v>297.85</v>
      </c>
      <c r="K220" s="152">
        <f aca="true" t="shared" si="29" ref="K220:K227">SUM(I220:J220)</f>
        <v>662.1700000000001</v>
      </c>
    </row>
    <row r="221" spans="1:11" ht="15" customHeight="1">
      <c r="A221" s="350">
        <v>2</v>
      </c>
      <c r="B221" s="293" t="s">
        <v>134</v>
      </c>
      <c r="C221" s="351">
        <v>374.57000000000005</v>
      </c>
      <c r="D221" s="351">
        <v>348.06</v>
      </c>
      <c r="E221" s="386">
        <f t="shared" si="28"/>
        <v>0.9292255119203352</v>
      </c>
      <c r="F221" s="128"/>
      <c r="I221" s="147">
        <v>185.45</v>
      </c>
      <c r="J221" s="133">
        <v>162.61</v>
      </c>
      <c r="K221" s="152">
        <f t="shared" si="29"/>
        <v>348.06</v>
      </c>
    </row>
    <row r="222" spans="1:11" ht="15" customHeight="1">
      <c r="A222" s="350">
        <v>3</v>
      </c>
      <c r="B222" s="293" t="s">
        <v>135</v>
      </c>
      <c r="C222" s="351">
        <v>291.59</v>
      </c>
      <c r="D222" s="351">
        <v>271.01</v>
      </c>
      <c r="E222" s="386">
        <f t="shared" si="28"/>
        <v>0.9294214479234542</v>
      </c>
      <c r="F222" s="128"/>
      <c r="I222" s="147">
        <v>161.38</v>
      </c>
      <c r="J222" s="133">
        <v>109.63</v>
      </c>
      <c r="K222" s="152">
        <f t="shared" si="29"/>
        <v>271.01</v>
      </c>
    </row>
    <row r="223" spans="1:11" ht="15" customHeight="1">
      <c r="A223" s="350">
        <v>4</v>
      </c>
      <c r="B223" s="293" t="s">
        <v>136</v>
      </c>
      <c r="C223" s="351">
        <v>578.01</v>
      </c>
      <c r="D223" s="351">
        <v>537.4</v>
      </c>
      <c r="E223" s="386">
        <f t="shared" si="28"/>
        <v>0.9297416999705888</v>
      </c>
      <c r="F223" s="128"/>
      <c r="I223" s="147">
        <v>368.03</v>
      </c>
      <c r="J223" s="133">
        <v>169.37</v>
      </c>
      <c r="K223" s="152">
        <f t="shared" si="29"/>
        <v>537.4</v>
      </c>
    </row>
    <row r="224" spans="1:11" ht="15" customHeight="1">
      <c r="A224" s="350">
        <v>5</v>
      </c>
      <c r="B224" s="293" t="s">
        <v>137</v>
      </c>
      <c r="C224" s="351">
        <v>667.35</v>
      </c>
      <c r="D224" s="351">
        <v>620.29</v>
      </c>
      <c r="E224" s="386">
        <f t="shared" si="28"/>
        <v>0.9294822806623211</v>
      </c>
      <c r="F224" s="128"/>
      <c r="I224" s="147">
        <v>377.07</v>
      </c>
      <c r="J224" s="133">
        <v>243.22</v>
      </c>
      <c r="K224" s="152">
        <f t="shared" si="29"/>
        <v>620.29</v>
      </c>
    </row>
    <row r="225" spans="1:11" ht="15" customHeight="1">
      <c r="A225" s="350">
        <v>6</v>
      </c>
      <c r="B225" s="293" t="s">
        <v>138</v>
      </c>
      <c r="C225" s="351">
        <v>402.90999999999997</v>
      </c>
      <c r="D225" s="351">
        <v>374.53</v>
      </c>
      <c r="E225" s="386">
        <f t="shared" si="28"/>
        <v>0.9295624332977588</v>
      </c>
      <c r="F225" s="128"/>
      <c r="I225" s="147">
        <v>236.41</v>
      </c>
      <c r="J225" s="133">
        <v>138.12</v>
      </c>
      <c r="K225" s="152">
        <f t="shared" si="29"/>
        <v>374.53</v>
      </c>
    </row>
    <row r="226" spans="1:11" ht="15" customHeight="1">
      <c r="A226" s="350">
        <v>7</v>
      </c>
      <c r="B226" s="293" t="s">
        <v>139</v>
      </c>
      <c r="C226" s="351">
        <v>273.29</v>
      </c>
      <c r="D226" s="351">
        <v>254.07</v>
      </c>
      <c r="E226" s="386">
        <f t="shared" si="28"/>
        <v>0.9296717772329759</v>
      </c>
      <c r="F226" s="128"/>
      <c r="I226" s="147">
        <v>167.36</v>
      </c>
      <c r="J226" s="133">
        <v>86.71</v>
      </c>
      <c r="K226" s="152">
        <f t="shared" si="29"/>
        <v>254.07</v>
      </c>
    </row>
    <row r="227" spans="1:11" ht="15" customHeight="1" thickBot="1">
      <c r="A227" s="359">
        <v>8</v>
      </c>
      <c r="B227" s="293" t="s">
        <v>140</v>
      </c>
      <c r="C227" s="387">
        <v>178.97</v>
      </c>
      <c r="D227" s="387">
        <v>166.27999999999997</v>
      </c>
      <c r="E227" s="388">
        <f t="shared" si="28"/>
        <v>0.9290942616080906</v>
      </c>
      <c r="F227" s="128"/>
      <c r="I227" s="148">
        <v>82.57</v>
      </c>
      <c r="J227" s="150">
        <v>83.71</v>
      </c>
      <c r="K227" s="153">
        <f t="shared" si="29"/>
        <v>166.27999999999997</v>
      </c>
    </row>
    <row r="228" spans="1:12" s="13" customFormat="1" ht="15" customHeight="1" thickBot="1">
      <c r="A228" s="389"/>
      <c r="B228" s="390" t="s">
        <v>56</v>
      </c>
      <c r="C228" s="391">
        <v>3479.2599999999998</v>
      </c>
      <c r="D228" s="391">
        <v>3233.8100000000004</v>
      </c>
      <c r="E228" s="392">
        <f t="shared" si="28"/>
        <v>0.9294533895138624</v>
      </c>
      <c r="F228" s="129"/>
      <c r="I228" s="149">
        <v>1942.6</v>
      </c>
      <c r="J228" s="151">
        <v>1291.22</v>
      </c>
      <c r="K228" s="154">
        <f>SUM(K220:K227)</f>
        <v>3233.8100000000004</v>
      </c>
      <c r="L228" s="4"/>
    </row>
    <row r="229" spans="1:6" ht="15" customHeight="1">
      <c r="A229" s="393"/>
      <c r="B229" s="121"/>
      <c r="C229" s="394"/>
      <c r="D229" s="394"/>
      <c r="E229" s="395"/>
      <c r="F229" s="126"/>
    </row>
    <row r="230" spans="1:8" ht="15">
      <c r="A230" s="14" t="s">
        <v>130</v>
      </c>
      <c r="B230" s="234"/>
      <c r="C230" s="234"/>
      <c r="D230" s="234"/>
      <c r="H230" s="24"/>
    </row>
    <row r="231" ht="6.75" customHeight="1" thickBot="1">
      <c r="A231" s="13"/>
    </row>
    <row r="232" spans="1:6" ht="25.5">
      <c r="A232" s="549" t="s">
        <v>33</v>
      </c>
      <c r="B232" s="396" t="s">
        <v>35</v>
      </c>
      <c r="C232" s="396" t="s">
        <v>112</v>
      </c>
      <c r="D232" s="396" t="s">
        <v>113</v>
      </c>
      <c r="E232" s="396" t="s">
        <v>114</v>
      </c>
      <c r="F232" s="397" t="s">
        <v>115</v>
      </c>
    </row>
    <row r="233" spans="1:6" ht="18.75" customHeight="1" thickBot="1">
      <c r="A233" s="550">
        <f>C228</f>
        <v>3479.2599999999998</v>
      </c>
      <c r="B233" s="339">
        <f>F209</f>
        <v>3479.23</v>
      </c>
      <c r="C233" s="551">
        <f>B233/A233</f>
        <v>0.9999913774768199</v>
      </c>
      <c r="D233" s="339">
        <f>D247</f>
        <v>103.37221229703599</v>
      </c>
      <c r="E233" s="552">
        <f>E247</f>
        <v>103.37221229703599</v>
      </c>
      <c r="F233" s="553">
        <f>E233/D233</f>
        <v>1</v>
      </c>
    </row>
    <row r="234" ht="7.5" customHeight="1">
      <c r="A234" s="13"/>
    </row>
    <row r="235" spans="1:3" ht="15">
      <c r="A235" s="14" t="s">
        <v>131</v>
      </c>
      <c r="B235" s="234"/>
      <c r="C235" s="234"/>
    </row>
    <row r="236" ht="6.75" customHeight="1" thickBot="1">
      <c r="A236" s="13"/>
    </row>
    <row r="237" spans="1:7" ht="25.5">
      <c r="A237" s="262" t="s">
        <v>32</v>
      </c>
      <c r="B237" s="263" t="s">
        <v>2</v>
      </c>
      <c r="C237" s="263" t="s">
        <v>33</v>
      </c>
      <c r="D237" s="396" t="s">
        <v>116</v>
      </c>
      <c r="E237" s="396" t="s">
        <v>117</v>
      </c>
      <c r="F237" s="396" t="s">
        <v>118</v>
      </c>
      <c r="G237" s="397" t="s">
        <v>119</v>
      </c>
    </row>
    <row r="238" spans="1:7" ht="12.75">
      <c r="A238" s="398">
        <v>1</v>
      </c>
      <c r="B238" s="399">
        <v>2</v>
      </c>
      <c r="C238" s="400">
        <v>3</v>
      </c>
      <c r="D238" s="399">
        <v>4</v>
      </c>
      <c r="E238" s="401">
        <v>5</v>
      </c>
      <c r="F238" s="400">
        <v>6</v>
      </c>
      <c r="G238" s="402">
        <v>7</v>
      </c>
    </row>
    <row r="239" spans="1:11" ht="15" customHeight="1">
      <c r="A239" s="273">
        <v>1</v>
      </c>
      <c r="B239" s="293" t="s">
        <v>133</v>
      </c>
      <c r="C239" s="156">
        <v>712.57</v>
      </c>
      <c r="D239" s="133">
        <v>21.17215239402126</v>
      </c>
      <c r="E239" s="133">
        <v>21.17215239402126</v>
      </c>
      <c r="F239" s="133">
        <f>E239-D239</f>
        <v>0</v>
      </c>
      <c r="G239" s="253">
        <f aca="true" t="shared" si="30" ref="G239:G247">E239/D239</f>
        <v>1</v>
      </c>
      <c r="I239" s="81"/>
      <c r="K239" s="41"/>
    </row>
    <row r="240" spans="1:11" ht="15" customHeight="1">
      <c r="A240" s="273">
        <v>2</v>
      </c>
      <c r="B240" s="293" t="s">
        <v>134</v>
      </c>
      <c r="C240" s="156">
        <v>374.57000000000005</v>
      </c>
      <c r="D240" s="133">
        <v>11.129649906483309</v>
      </c>
      <c r="E240" s="133">
        <v>11.129649906483309</v>
      </c>
      <c r="F240" s="133">
        <f aca="true" t="shared" si="31" ref="F240:F246">E240-D240</f>
        <v>0</v>
      </c>
      <c r="G240" s="253">
        <f t="shared" si="30"/>
        <v>1</v>
      </c>
      <c r="I240" s="81"/>
      <c r="K240" s="41"/>
    </row>
    <row r="241" spans="1:11" ht="15" customHeight="1">
      <c r="A241" s="273">
        <v>3</v>
      </c>
      <c r="B241" s="293" t="s">
        <v>135</v>
      </c>
      <c r="C241" s="156">
        <v>291.59</v>
      </c>
      <c r="D241" s="133">
        <v>8.663276828285653</v>
      </c>
      <c r="E241" s="133">
        <v>8.663276828285653</v>
      </c>
      <c r="F241" s="133">
        <f t="shared" si="31"/>
        <v>0</v>
      </c>
      <c r="G241" s="253">
        <f t="shared" si="30"/>
        <v>1</v>
      </c>
      <c r="I241" s="81"/>
      <c r="K241" s="41"/>
    </row>
    <row r="242" spans="1:11" ht="15" customHeight="1">
      <c r="A242" s="273">
        <v>4</v>
      </c>
      <c r="B242" s="293" t="s">
        <v>136</v>
      </c>
      <c r="C242" s="156">
        <v>578.01</v>
      </c>
      <c r="D242" s="133">
        <v>17.17177464099762</v>
      </c>
      <c r="E242" s="133">
        <v>17.17177464099762</v>
      </c>
      <c r="F242" s="133">
        <f t="shared" si="31"/>
        <v>0</v>
      </c>
      <c r="G242" s="253">
        <f t="shared" si="30"/>
        <v>1</v>
      </c>
      <c r="I242" s="81"/>
      <c r="K242" s="41"/>
    </row>
    <row r="243" spans="1:11" ht="15" customHeight="1">
      <c r="A243" s="273">
        <v>5</v>
      </c>
      <c r="B243" s="293" t="s">
        <v>137</v>
      </c>
      <c r="C243" s="156">
        <v>667.35</v>
      </c>
      <c r="D243" s="133">
        <v>19.827697160794678</v>
      </c>
      <c r="E243" s="133">
        <v>19.827697160794678</v>
      </c>
      <c r="F243" s="133">
        <f t="shared" si="31"/>
        <v>0</v>
      </c>
      <c r="G243" s="253">
        <f t="shared" si="30"/>
        <v>1</v>
      </c>
      <c r="I243" s="81"/>
      <c r="K243" s="41"/>
    </row>
    <row r="244" spans="1:11" ht="15" customHeight="1">
      <c r="A244" s="273">
        <v>6</v>
      </c>
      <c r="B244" s="293" t="s">
        <v>138</v>
      </c>
      <c r="C244" s="156">
        <v>402.90999999999997</v>
      </c>
      <c r="D244" s="133">
        <v>11.970496374766146</v>
      </c>
      <c r="E244" s="133">
        <v>11.970496374766146</v>
      </c>
      <c r="F244" s="133">
        <f t="shared" si="31"/>
        <v>0</v>
      </c>
      <c r="G244" s="253">
        <f t="shared" si="30"/>
        <v>1</v>
      </c>
      <c r="I244" s="81"/>
      <c r="K244" s="41"/>
    </row>
    <row r="245" spans="1:11" ht="15" customHeight="1">
      <c r="A245" s="273">
        <v>7</v>
      </c>
      <c r="B245" s="293" t="s">
        <v>139</v>
      </c>
      <c r="C245" s="156">
        <v>273.29</v>
      </c>
      <c r="D245" s="133">
        <v>8.119380530324358</v>
      </c>
      <c r="E245" s="133">
        <v>8.119380530324358</v>
      </c>
      <c r="F245" s="133">
        <f t="shared" si="31"/>
        <v>0</v>
      </c>
      <c r="G245" s="253">
        <f t="shared" si="30"/>
        <v>1</v>
      </c>
      <c r="I245" s="81"/>
      <c r="K245" s="41"/>
    </row>
    <row r="246" spans="1:11" ht="15" customHeight="1">
      <c r="A246" s="273">
        <v>8</v>
      </c>
      <c r="B246" s="293" t="s">
        <v>140</v>
      </c>
      <c r="C246" s="156">
        <v>178.97</v>
      </c>
      <c r="D246" s="133">
        <v>5.317784461362969</v>
      </c>
      <c r="E246" s="133">
        <v>5.317784461362969</v>
      </c>
      <c r="F246" s="133">
        <f t="shared" si="31"/>
        <v>0</v>
      </c>
      <c r="G246" s="253">
        <f t="shared" si="30"/>
        <v>1</v>
      </c>
      <c r="I246" s="81"/>
      <c r="K246" s="41"/>
    </row>
    <row r="247" spans="1:11" ht="15" customHeight="1" thickBot="1">
      <c r="A247" s="403"/>
      <c r="B247" s="295" t="s">
        <v>56</v>
      </c>
      <c r="C247" s="309">
        <v>3479.2599999999998</v>
      </c>
      <c r="D247" s="309">
        <v>103.37221229703599</v>
      </c>
      <c r="E247" s="309">
        <v>103.37221229703599</v>
      </c>
      <c r="F247" s="309">
        <f>SUM(F239:F246)</f>
        <v>0</v>
      </c>
      <c r="G247" s="310">
        <f t="shared" si="30"/>
        <v>1</v>
      </c>
      <c r="I247" s="82"/>
      <c r="K247" s="41"/>
    </row>
    <row r="248" spans="1:11" ht="15" customHeight="1">
      <c r="A248" s="207"/>
      <c r="B248" s="205"/>
      <c r="C248" s="208"/>
      <c r="D248" s="208"/>
      <c r="E248" s="208"/>
      <c r="F248" s="210"/>
      <c r="G248" s="196"/>
      <c r="I248" s="82"/>
      <c r="K248" s="41"/>
    </row>
    <row r="249" spans="1:11" ht="15" customHeight="1">
      <c r="A249" s="72"/>
      <c r="B249" s="56"/>
      <c r="C249" s="71"/>
      <c r="D249" s="71"/>
      <c r="E249" s="71"/>
      <c r="F249" s="83"/>
      <c r="G249" s="36"/>
      <c r="I249" s="82"/>
      <c r="K249" s="41"/>
    </row>
    <row r="250" spans="1:5" ht="15.75">
      <c r="A250" s="84" t="s">
        <v>222</v>
      </c>
      <c r="B250" s="85"/>
      <c r="C250" s="85"/>
      <c r="D250" s="85"/>
      <c r="E250" s="113"/>
    </row>
    <row r="251" ht="5.25" customHeight="1">
      <c r="A251" s="79"/>
    </row>
    <row r="252" ht="12.75" hidden="1">
      <c r="A252" s="79"/>
    </row>
    <row r="253" spans="1:7" ht="12.75" hidden="1">
      <c r="A253" s="48"/>
      <c r="B253" s="48" t="s">
        <v>39</v>
      </c>
      <c r="C253" s="48"/>
      <c r="D253" s="48"/>
      <c r="E253" s="48"/>
      <c r="F253" s="48"/>
      <c r="G253" s="48"/>
    </row>
    <row r="254" spans="1:7" ht="12.75" hidden="1">
      <c r="A254" s="48"/>
      <c r="B254" s="48"/>
      <c r="C254" s="48"/>
      <c r="D254" s="48"/>
      <c r="E254" s="48"/>
      <c r="F254" s="48"/>
      <c r="G254" s="48"/>
    </row>
    <row r="255" spans="1:7" ht="12.75" hidden="1">
      <c r="A255" s="48"/>
      <c r="B255" s="48" t="s">
        <v>40</v>
      </c>
      <c r="E255" s="64">
        <f>8581264*220*1.5/10000000</f>
        <v>283.181712</v>
      </c>
      <c r="F255" s="48"/>
      <c r="G255" s="48"/>
    </row>
    <row r="256" spans="1:7" ht="12.75" hidden="1">
      <c r="A256" s="48"/>
      <c r="B256" s="48" t="s">
        <v>41</v>
      </c>
      <c r="E256" s="64">
        <f>8581264*220*1/10000000</f>
        <v>188.787808</v>
      </c>
      <c r="F256" s="48"/>
      <c r="G256" s="48"/>
    </row>
    <row r="257" spans="1:7" ht="12.75" hidden="1">
      <c r="A257" s="48"/>
      <c r="B257" s="47" t="s">
        <v>3</v>
      </c>
      <c r="E257" s="86">
        <f>E256+E255</f>
        <v>471.96952</v>
      </c>
      <c r="F257" s="48"/>
      <c r="G257" s="48"/>
    </row>
    <row r="258" spans="1:7" ht="12.75" hidden="1">
      <c r="A258" s="48"/>
      <c r="B258" s="48" t="s">
        <v>42</v>
      </c>
      <c r="E258" s="64">
        <v>477.18</v>
      </c>
      <c r="F258" s="48"/>
      <c r="G258" s="48"/>
    </row>
    <row r="259" spans="1:7" ht="12.75" hidden="1">
      <c r="A259" s="48"/>
      <c r="B259" s="47" t="s">
        <v>43</v>
      </c>
      <c r="E259" s="86">
        <f>E258-E257</f>
        <v>5.210480000000018</v>
      </c>
      <c r="F259" s="48"/>
      <c r="G259" s="48"/>
    </row>
    <row r="260" spans="1:7" ht="12.75" hidden="1">
      <c r="A260" s="48"/>
      <c r="B260" s="48"/>
      <c r="C260" s="64"/>
      <c r="D260" s="48"/>
      <c r="E260" s="48"/>
      <c r="F260" s="48"/>
      <c r="G260" s="48"/>
    </row>
    <row r="261" spans="1:13" ht="12.75" hidden="1">
      <c r="A261" s="48"/>
      <c r="B261" s="48"/>
      <c r="C261" s="64"/>
      <c r="D261" s="48"/>
      <c r="E261" s="48"/>
      <c r="F261" s="48"/>
      <c r="G261" s="48"/>
      <c r="M261" s="4">
        <f>L260/100000</f>
        <v>0</v>
      </c>
    </row>
    <row r="262" spans="1:7" ht="8.25" customHeight="1">
      <c r="A262" s="48"/>
      <c r="B262" s="48"/>
      <c r="C262" s="64"/>
      <c r="D262" s="48"/>
      <c r="E262" s="48"/>
      <c r="F262" s="48"/>
      <c r="G262" s="48"/>
    </row>
    <row r="263" spans="1:7" ht="15">
      <c r="A263" s="45" t="s">
        <v>159</v>
      </c>
      <c r="B263" s="46"/>
      <c r="C263" s="64"/>
      <c r="D263" s="48"/>
      <c r="E263" s="48"/>
      <c r="F263" s="48"/>
      <c r="G263" s="48"/>
    </row>
    <row r="264" spans="1:7" ht="6" customHeight="1" thickBot="1">
      <c r="A264" s="48"/>
      <c r="B264" s="48"/>
      <c r="C264" s="64"/>
      <c r="D264" s="48"/>
      <c r="E264" s="48"/>
      <c r="F264" s="48"/>
      <c r="G264" s="48"/>
    </row>
    <row r="265" spans="1:7" ht="12.75">
      <c r="A265" s="586" t="s">
        <v>280</v>
      </c>
      <c r="B265" s="587"/>
      <c r="C265" s="587"/>
      <c r="D265" s="588"/>
      <c r="E265" s="48"/>
      <c r="F265" s="48"/>
      <c r="G265" s="48"/>
    </row>
    <row r="266" spans="1:6" ht="25.5">
      <c r="A266" s="404" t="s">
        <v>89</v>
      </c>
      <c r="B266" s="87" t="s">
        <v>8</v>
      </c>
      <c r="C266" s="87" t="s">
        <v>9</v>
      </c>
      <c r="D266" s="405" t="s">
        <v>59</v>
      </c>
      <c r="F266" s="88"/>
    </row>
    <row r="267" spans="1:6" ht="30.75" customHeight="1">
      <c r="A267" s="592" t="s">
        <v>207</v>
      </c>
      <c r="B267" s="89" t="s">
        <v>314</v>
      </c>
      <c r="C267" s="406" t="s">
        <v>313</v>
      </c>
      <c r="D267" s="407">
        <v>0</v>
      </c>
      <c r="F267" s="88"/>
    </row>
    <row r="268" spans="1:6" ht="15.75" customHeight="1">
      <c r="A268" s="593"/>
      <c r="B268" s="89" t="s">
        <v>142</v>
      </c>
      <c r="C268" s="400" t="s">
        <v>315</v>
      </c>
      <c r="D268" s="400">
        <v>26.1</v>
      </c>
      <c r="E268" s="408"/>
      <c r="F268" s="88"/>
    </row>
    <row r="269" spans="1:6" ht="25.5">
      <c r="A269" s="593"/>
      <c r="B269" s="409" t="s">
        <v>120</v>
      </c>
      <c r="C269" s="406" t="s">
        <v>316</v>
      </c>
      <c r="D269" s="400">
        <v>35.92</v>
      </c>
      <c r="E269" s="410"/>
      <c r="F269" s="95"/>
    </row>
    <row r="270" spans="1:6" ht="12.75">
      <c r="A270" s="593"/>
      <c r="B270" s="411" t="s">
        <v>7</v>
      </c>
      <c r="C270" s="400" t="s">
        <v>317</v>
      </c>
      <c r="D270" s="400">
        <v>41.35</v>
      </c>
      <c r="E270" s="410"/>
      <c r="F270" s="95"/>
    </row>
    <row r="271" spans="1:6" ht="12.75">
      <c r="A271" s="594"/>
      <c r="B271" s="568" t="s">
        <v>19</v>
      </c>
      <c r="C271" s="569"/>
      <c r="D271" s="412">
        <f>SUM(D268:D270)</f>
        <v>103.37</v>
      </c>
      <c r="F271" s="22"/>
    </row>
    <row r="272" spans="1:6" ht="14.25" customHeight="1" hidden="1">
      <c r="A272" s="592" t="s">
        <v>18</v>
      </c>
      <c r="B272" s="89" t="s">
        <v>141</v>
      </c>
      <c r="C272" s="90"/>
      <c r="D272" s="98">
        <v>0</v>
      </c>
      <c r="F272" s="22"/>
    </row>
    <row r="273" spans="1:6" ht="14.25" customHeight="1" hidden="1">
      <c r="A273" s="593"/>
      <c r="B273" s="89" t="s">
        <v>142</v>
      </c>
      <c r="C273" s="91"/>
      <c r="D273" s="92">
        <f>111.81+313.11-D272</f>
        <v>424.92</v>
      </c>
      <c r="F273" s="22"/>
    </row>
    <row r="274" spans="1:6" ht="12.75" hidden="1">
      <c r="A274" s="593"/>
      <c r="B274" s="99" t="s">
        <v>6</v>
      </c>
      <c r="C274" s="94"/>
      <c r="D274" s="92"/>
      <c r="F274" s="22"/>
    </row>
    <row r="275" spans="1:6" ht="12.75" hidden="1">
      <c r="A275" s="593"/>
      <c r="B275" s="96" t="s">
        <v>7</v>
      </c>
      <c r="C275" s="80"/>
      <c r="D275" s="100"/>
      <c r="F275" s="22"/>
    </row>
    <row r="276" spans="1:6" ht="12.75" hidden="1">
      <c r="A276" s="594"/>
      <c r="B276" s="568" t="s">
        <v>19</v>
      </c>
      <c r="C276" s="569"/>
      <c r="D276" s="97">
        <f>D275+D274+D273+D272</f>
        <v>424.92</v>
      </c>
      <c r="F276" s="22"/>
    </row>
    <row r="277" spans="1:4" ht="13.5" hidden="1" thickBot="1">
      <c r="A277" s="589" t="s">
        <v>20</v>
      </c>
      <c r="B277" s="590"/>
      <c r="C277" s="591"/>
      <c r="D277" s="101">
        <f>D271+D276</f>
        <v>528.29</v>
      </c>
    </row>
    <row r="278" spans="1:7" ht="8.25" customHeight="1">
      <c r="A278" s="48"/>
      <c r="B278" s="48"/>
      <c r="C278" s="64"/>
      <c r="D278" s="48"/>
      <c r="E278" s="48"/>
      <c r="F278" s="48"/>
      <c r="G278" s="48"/>
    </row>
    <row r="279" spans="1:7" ht="8.25" customHeight="1">
      <c r="A279" s="48"/>
      <c r="B279" s="48"/>
      <c r="C279" s="64"/>
      <c r="D279" s="48"/>
      <c r="E279" s="48"/>
      <c r="F279" s="48"/>
      <c r="G279" s="48"/>
    </row>
    <row r="280" spans="1:7" ht="18" customHeight="1">
      <c r="A280" s="48"/>
      <c r="B280" s="48"/>
      <c r="C280" s="64"/>
      <c r="D280" s="48"/>
      <c r="E280" s="48"/>
      <c r="F280" s="48"/>
      <c r="G280" s="48"/>
    </row>
    <row r="281" spans="1:6" ht="15">
      <c r="A281" s="102" t="s">
        <v>220</v>
      </c>
      <c r="B281" s="103"/>
      <c r="C281" s="103"/>
      <c r="D281" s="103"/>
      <c r="E281" s="104"/>
      <c r="F281" s="61"/>
    </row>
    <row r="282" spans="1:7" ht="9" customHeight="1">
      <c r="A282" s="61"/>
      <c r="B282" s="61"/>
      <c r="C282" s="61"/>
      <c r="D282" s="61"/>
      <c r="E282" s="62"/>
      <c r="F282" s="61"/>
      <c r="G282" s="194"/>
    </row>
    <row r="283" spans="1:7" ht="19.5" customHeight="1">
      <c r="A283" s="14" t="s">
        <v>318</v>
      </c>
      <c r="B283" s="46"/>
      <c r="C283" s="63"/>
      <c r="D283" s="46"/>
      <c r="E283" s="46"/>
      <c r="F283" s="46"/>
      <c r="G283" s="200"/>
    </row>
    <row r="284" spans="1:7" ht="6.75" customHeight="1">
      <c r="A284" s="13"/>
      <c r="B284" s="48"/>
      <c r="C284" s="64"/>
      <c r="D284" s="48"/>
      <c r="E284" s="48"/>
      <c r="F284" s="48"/>
      <c r="G284" s="200"/>
    </row>
    <row r="285" spans="1:7" ht="13.5" thickBot="1">
      <c r="A285" s="48"/>
      <c r="B285" s="48"/>
      <c r="C285" s="48"/>
      <c r="D285" s="48"/>
      <c r="E285" s="48" t="s">
        <v>10</v>
      </c>
      <c r="G285" s="194"/>
    </row>
    <row r="286" spans="1:14" ht="39.75" customHeight="1">
      <c r="A286" s="413" t="s">
        <v>26</v>
      </c>
      <c r="B286" s="414" t="s">
        <v>27</v>
      </c>
      <c r="C286" s="317" t="s">
        <v>281</v>
      </c>
      <c r="D286" s="317" t="s">
        <v>319</v>
      </c>
      <c r="E286" s="319" t="s">
        <v>282</v>
      </c>
      <c r="F286" s="65"/>
      <c r="G286" s="211"/>
      <c r="I286" s="144" t="s">
        <v>203</v>
      </c>
      <c r="J286" s="145" t="s">
        <v>223</v>
      </c>
      <c r="K286" s="146" t="s">
        <v>3</v>
      </c>
      <c r="L286" s="144" t="s">
        <v>203</v>
      </c>
      <c r="M286" s="145" t="s">
        <v>223</v>
      </c>
      <c r="N286" s="146" t="s">
        <v>3</v>
      </c>
    </row>
    <row r="287" spans="1:14" s="33" customFormat="1" ht="14.25" customHeight="1">
      <c r="A287" s="415">
        <v>1</v>
      </c>
      <c r="B287" s="416">
        <v>2</v>
      </c>
      <c r="C287" s="348">
        <v>3</v>
      </c>
      <c r="D287" s="348">
        <v>4</v>
      </c>
      <c r="E287" s="417">
        <v>5</v>
      </c>
      <c r="F287" s="67"/>
      <c r="G287" s="212"/>
      <c r="I287" s="560" t="s">
        <v>232</v>
      </c>
      <c r="J287" s="561"/>
      <c r="K287" s="562"/>
      <c r="L287" s="560" t="s">
        <v>233</v>
      </c>
      <c r="M287" s="561"/>
      <c r="N287" s="562"/>
    </row>
    <row r="288" spans="1:14" ht="12.75">
      <c r="A288" s="273">
        <v>1</v>
      </c>
      <c r="B288" s="96" t="s">
        <v>133</v>
      </c>
      <c r="C288" s="156">
        <v>326.6</v>
      </c>
      <c r="D288" s="133">
        <v>20.66</v>
      </c>
      <c r="E288" s="418">
        <f aca="true" t="shared" si="32" ref="E288:E296">D288/C288</f>
        <v>0.06325780771586037</v>
      </c>
      <c r="F288" s="105"/>
      <c r="G288" s="214"/>
      <c r="I288" s="147">
        <v>192.57000000000002</v>
      </c>
      <c r="J288" s="133">
        <v>134.03</v>
      </c>
      <c r="K288" s="152">
        <f aca="true" t="shared" si="33" ref="K288:K295">SUM(I288:J288)</f>
        <v>326.6</v>
      </c>
      <c r="L288" s="147">
        <v>11.16</v>
      </c>
      <c r="M288" s="133">
        <v>9.5</v>
      </c>
      <c r="N288" s="152">
        <f aca="true" t="shared" si="34" ref="N288:N295">SUM(L288:M288)</f>
        <v>20.66</v>
      </c>
    </row>
    <row r="289" spans="1:14" ht="12.75">
      <c r="A289" s="273">
        <v>2</v>
      </c>
      <c r="B289" s="96" t="s">
        <v>134</v>
      </c>
      <c r="C289" s="156">
        <v>171.2</v>
      </c>
      <c r="D289" s="133">
        <v>10.86</v>
      </c>
      <c r="E289" s="418">
        <f t="shared" si="32"/>
        <v>0.06343457943925233</v>
      </c>
      <c r="F289" s="105"/>
      <c r="G289" s="214"/>
      <c r="I289" s="147">
        <v>98.03</v>
      </c>
      <c r="J289" s="133">
        <v>73.16999999999999</v>
      </c>
      <c r="K289" s="152">
        <f t="shared" si="33"/>
        <v>171.2</v>
      </c>
      <c r="L289" s="147">
        <v>5.68</v>
      </c>
      <c r="M289" s="133">
        <v>5.18</v>
      </c>
      <c r="N289" s="152">
        <f t="shared" si="34"/>
        <v>10.86</v>
      </c>
    </row>
    <row r="290" spans="1:14" ht="12.75">
      <c r="A290" s="273">
        <v>3</v>
      </c>
      <c r="B290" s="96" t="s">
        <v>135</v>
      </c>
      <c r="C290" s="156">
        <v>134.65</v>
      </c>
      <c r="D290" s="133">
        <v>8.450000000000001</v>
      </c>
      <c r="E290" s="418">
        <f t="shared" si="32"/>
        <v>0.06275529149647234</v>
      </c>
      <c r="F290" s="105"/>
      <c r="G290" s="214"/>
      <c r="I290" s="147">
        <v>85.31</v>
      </c>
      <c r="J290" s="133">
        <v>49.34</v>
      </c>
      <c r="K290" s="152">
        <f t="shared" si="33"/>
        <v>134.65</v>
      </c>
      <c r="L290" s="147">
        <v>4.960000000000001</v>
      </c>
      <c r="M290" s="133">
        <v>3.49</v>
      </c>
      <c r="N290" s="152">
        <f t="shared" si="34"/>
        <v>8.450000000000001</v>
      </c>
    </row>
    <row r="291" spans="1:14" ht="12.75">
      <c r="A291" s="273">
        <v>4</v>
      </c>
      <c r="B291" s="96" t="s">
        <v>136</v>
      </c>
      <c r="C291" s="156">
        <v>270.73</v>
      </c>
      <c r="D291" s="133">
        <v>16.67</v>
      </c>
      <c r="E291" s="418">
        <f t="shared" si="32"/>
        <v>0.061574262180031765</v>
      </c>
      <c r="F291" s="105"/>
      <c r="G291" s="214" t="s">
        <v>107</v>
      </c>
      <c r="I291" s="147">
        <v>194.52</v>
      </c>
      <c r="J291" s="133">
        <v>76.21</v>
      </c>
      <c r="K291" s="152">
        <f t="shared" si="33"/>
        <v>270.73</v>
      </c>
      <c r="L291" s="147">
        <v>11.27</v>
      </c>
      <c r="M291" s="133">
        <v>5.4</v>
      </c>
      <c r="N291" s="152">
        <f t="shared" si="34"/>
        <v>16.67</v>
      </c>
    </row>
    <row r="292" spans="1:14" ht="12.75">
      <c r="A292" s="273">
        <v>5</v>
      </c>
      <c r="B292" s="96" t="s">
        <v>137</v>
      </c>
      <c r="C292" s="156">
        <v>308.75</v>
      </c>
      <c r="D292" s="133">
        <v>19.299999999999997</v>
      </c>
      <c r="E292" s="418">
        <f t="shared" si="32"/>
        <v>0.06251012145748987</v>
      </c>
      <c r="F292" s="105"/>
      <c r="G292" s="214"/>
      <c r="I292" s="147">
        <v>199.3</v>
      </c>
      <c r="J292" s="133">
        <v>109.44999999999999</v>
      </c>
      <c r="K292" s="152">
        <f t="shared" si="33"/>
        <v>308.75</v>
      </c>
      <c r="L292" s="147">
        <v>11.549999999999999</v>
      </c>
      <c r="M292" s="133">
        <v>7.75</v>
      </c>
      <c r="N292" s="152">
        <f t="shared" si="34"/>
        <v>19.299999999999997</v>
      </c>
    </row>
    <row r="293" spans="1:14" ht="12.75">
      <c r="A293" s="273">
        <v>6</v>
      </c>
      <c r="B293" s="96" t="s">
        <v>138</v>
      </c>
      <c r="C293" s="156">
        <v>187.12</v>
      </c>
      <c r="D293" s="133">
        <v>11.64</v>
      </c>
      <c r="E293" s="418">
        <f t="shared" si="32"/>
        <v>0.06220607097050022</v>
      </c>
      <c r="F293" s="105"/>
      <c r="G293" s="214"/>
      <c r="I293" s="147">
        <v>124.96000000000001</v>
      </c>
      <c r="J293" s="133">
        <v>62.160000000000004</v>
      </c>
      <c r="K293" s="152">
        <f t="shared" si="33"/>
        <v>187.12</v>
      </c>
      <c r="L293" s="147">
        <v>7.239999999999999</v>
      </c>
      <c r="M293" s="133">
        <v>4.4</v>
      </c>
      <c r="N293" s="152">
        <f t="shared" si="34"/>
        <v>11.64</v>
      </c>
    </row>
    <row r="294" spans="1:14" ht="12.75">
      <c r="A294" s="273">
        <v>7</v>
      </c>
      <c r="B294" s="96" t="s">
        <v>139</v>
      </c>
      <c r="C294" s="156">
        <v>127.47999999999999</v>
      </c>
      <c r="D294" s="133">
        <v>7.889999999999999</v>
      </c>
      <c r="E294" s="418">
        <f t="shared" si="32"/>
        <v>0.06189206149984311</v>
      </c>
      <c r="F294" s="105"/>
      <c r="G294" s="214"/>
      <c r="I294" s="147">
        <v>88.47</v>
      </c>
      <c r="J294" s="133">
        <v>39.01</v>
      </c>
      <c r="K294" s="152">
        <f t="shared" si="33"/>
        <v>127.47999999999999</v>
      </c>
      <c r="L294" s="147">
        <v>5.119999999999999</v>
      </c>
      <c r="M294" s="133">
        <v>2.7699999999999996</v>
      </c>
      <c r="N294" s="152">
        <f t="shared" si="34"/>
        <v>7.889999999999999</v>
      </c>
    </row>
    <row r="295" spans="1:14" ht="13.5" thickBot="1">
      <c r="A295" s="273">
        <v>8</v>
      </c>
      <c r="B295" s="96" t="s">
        <v>140</v>
      </c>
      <c r="C295" s="156">
        <v>81.31</v>
      </c>
      <c r="D295" s="133">
        <v>5.2</v>
      </c>
      <c r="E295" s="418">
        <f t="shared" si="32"/>
        <v>0.06395277333661296</v>
      </c>
      <c r="F295" s="105"/>
      <c r="G295" s="214"/>
      <c r="I295" s="148">
        <v>43.65</v>
      </c>
      <c r="J295" s="150">
        <v>37.660000000000004</v>
      </c>
      <c r="K295" s="153">
        <f t="shared" si="33"/>
        <v>81.31</v>
      </c>
      <c r="L295" s="148">
        <v>2.5300000000000002</v>
      </c>
      <c r="M295" s="150">
        <v>2.67</v>
      </c>
      <c r="N295" s="153">
        <f t="shared" si="34"/>
        <v>5.2</v>
      </c>
    </row>
    <row r="296" spans="1:14" ht="15.75" thickBot="1">
      <c r="A296" s="403"/>
      <c r="B296" s="295" t="s">
        <v>56</v>
      </c>
      <c r="C296" s="309">
        <v>1607.8400000000001</v>
      </c>
      <c r="D296" s="309">
        <v>100.67</v>
      </c>
      <c r="E296" s="419">
        <f t="shared" si="32"/>
        <v>0.06261195143795402</v>
      </c>
      <c r="F296" s="105"/>
      <c r="G296" s="214"/>
      <c r="H296" s="188"/>
      <c r="I296" s="149">
        <v>1026.8100000000002</v>
      </c>
      <c r="J296" s="149">
        <v>581.03</v>
      </c>
      <c r="K296" s="154">
        <f>SUM(K288:K295)</f>
        <v>1607.8400000000001</v>
      </c>
      <c r="L296" s="149">
        <v>59.51</v>
      </c>
      <c r="M296" s="151">
        <v>41.16</v>
      </c>
      <c r="N296" s="154">
        <f>SUM(N288:N295)</f>
        <v>100.67</v>
      </c>
    </row>
    <row r="297" spans="1:7" ht="12.75">
      <c r="A297" s="420"/>
      <c r="B297" s="74"/>
      <c r="C297" s="421"/>
      <c r="D297" s="421"/>
      <c r="E297" s="360"/>
      <c r="F297" s="77"/>
      <c r="G297" s="213"/>
    </row>
    <row r="298" spans="1:7" ht="15">
      <c r="A298" s="14" t="s">
        <v>320</v>
      </c>
      <c r="B298" s="46"/>
      <c r="C298" s="63"/>
      <c r="D298" s="46"/>
      <c r="E298" s="46"/>
      <c r="F298" s="46"/>
      <c r="G298" s="213"/>
    </row>
    <row r="299" spans="1:7" ht="15" thickBot="1">
      <c r="A299" s="46"/>
      <c r="B299" s="46"/>
      <c r="C299" s="46"/>
      <c r="D299" s="46"/>
      <c r="E299" s="46" t="s">
        <v>10</v>
      </c>
      <c r="F299" s="234"/>
      <c r="G299" s="194"/>
    </row>
    <row r="300" spans="1:11" ht="51" customHeight="1">
      <c r="A300" s="413" t="s">
        <v>26</v>
      </c>
      <c r="B300" s="414" t="s">
        <v>27</v>
      </c>
      <c r="C300" s="317" t="str">
        <f>C286</f>
        <v>Allocation for 2017-18                                     </v>
      </c>
      <c r="D300" s="317" t="s">
        <v>321</v>
      </c>
      <c r="E300" s="319" t="s">
        <v>283</v>
      </c>
      <c r="F300" s="65"/>
      <c r="G300" s="211"/>
      <c r="I300" s="144" t="s">
        <v>203</v>
      </c>
      <c r="J300" s="145" t="s">
        <v>223</v>
      </c>
      <c r="K300" s="146" t="s">
        <v>3</v>
      </c>
    </row>
    <row r="301" spans="1:11" s="33" customFormat="1" ht="12" customHeight="1">
      <c r="A301" s="415">
        <v>1</v>
      </c>
      <c r="B301" s="416">
        <v>2</v>
      </c>
      <c r="C301" s="422">
        <v>3</v>
      </c>
      <c r="D301" s="422">
        <v>4</v>
      </c>
      <c r="E301" s="417">
        <v>5</v>
      </c>
      <c r="F301" s="67"/>
      <c r="G301" s="212"/>
      <c r="I301" s="560" t="s">
        <v>234</v>
      </c>
      <c r="J301" s="561"/>
      <c r="K301" s="562"/>
    </row>
    <row r="302" spans="1:11" ht="12.75" customHeight="1">
      <c r="A302" s="273">
        <v>1</v>
      </c>
      <c r="B302" s="96" t="s">
        <v>133</v>
      </c>
      <c r="C302" s="156">
        <v>326.6</v>
      </c>
      <c r="D302" s="133">
        <v>23.79740353737725</v>
      </c>
      <c r="E302" s="423">
        <f aca="true" t="shared" si="35" ref="E302:E310">D302/C302</f>
        <v>0.07286406471946494</v>
      </c>
      <c r="F302" s="105"/>
      <c r="G302" s="214"/>
      <c r="I302" s="147">
        <v>13.529792888699689</v>
      </c>
      <c r="J302" s="133">
        <v>10.267610648677561</v>
      </c>
      <c r="K302" s="152">
        <f aca="true" t="shared" si="36" ref="K302:K309">SUM(I302:J302)</f>
        <v>23.79740353737725</v>
      </c>
    </row>
    <row r="303" spans="1:11" ht="12.75" customHeight="1">
      <c r="A303" s="273">
        <v>2</v>
      </c>
      <c r="B303" s="96" t="s">
        <v>134</v>
      </c>
      <c r="C303" s="156">
        <v>171.2</v>
      </c>
      <c r="D303" s="133">
        <v>12.484616321954192</v>
      </c>
      <c r="E303" s="423">
        <f t="shared" si="35"/>
        <v>0.07292416075907823</v>
      </c>
      <c r="F303" s="105"/>
      <c r="G303" s="214"/>
      <c r="I303" s="147">
        <v>6.881352578191269</v>
      </c>
      <c r="J303" s="133">
        <v>5.603263743762923</v>
      </c>
      <c r="K303" s="152">
        <f t="shared" si="36"/>
        <v>12.484616321954192</v>
      </c>
    </row>
    <row r="304" spans="1:20" ht="12.75" customHeight="1">
      <c r="A304" s="273">
        <v>3</v>
      </c>
      <c r="B304" s="96" t="s">
        <v>135</v>
      </c>
      <c r="C304" s="156">
        <v>134.65</v>
      </c>
      <c r="D304" s="133">
        <v>9.781554028020032</v>
      </c>
      <c r="E304" s="423">
        <f t="shared" si="35"/>
        <v>0.0726442928185669</v>
      </c>
      <c r="F304" s="105"/>
      <c r="G304" s="214"/>
      <c r="I304" s="147">
        <v>6.003095538226347</v>
      </c>
      <c r="J304" s="133">
        <v>3.7784584897936853</v>
      </c>
      <c r="K304" s="152">
        <f t="shared" si="36"/>
        <v>9.781554028020032</v>
      </c>
      <c r="T304" s="4" t="e">
        <f>#REF!/100000</f>
        <v>#REF!</v>
      </c>
    </row>
    <row r="305" spans="1:20" ht="12.75" customHeight="1">
      <c r="A305" s="273">
        <v>4</v>
      </c>
      <c r="B305" s="96" t="s">
        <v>136</v>
      </c>
      <c r="C305" s="156">
        <v>270.73</v>
      </c>
      <c r="D305" s="133">
        <v>19.501197997359526</v>
      </c>
      <c r="E305" s="423">
        <f t="shared" si="35"/>
        <v>0.07203190631758404</v>
      </c>
      <c r="F305" s="105"/>
      <c r="G305" s="213"/>
      <c r="H305" s="105"/>
      <c r="I305" s="147">
        <v>13.662333205617529</v>
      </c>
      <c r="J305" s="133">
        <v>5.838864791741997</v>
      </c>
      <c r="K305" s="152">
        <f t="shared" si="36"/>
        <v>19.501197997359526</v>
      </c>
      <c r="T305" s="4" t="e">
        <f>#REF!/100000</f>
        <v>#REF!</v>
      </c>
    </row>
    <row r="306" spans="1:20" ht="12.75" customHeight="1">
      <c r="A306" s="273">
        <v>5</v>
      </c>
      <c r="B306" s="96" t="s">
        <v>137</v>
      </c>
      <c r="C306" s="156">
        <v>308.75</v>
      </c>
      <c r="D306" s="133">
        <v>22.379041934225228</v>
      </c>
      <c r="E306" s="423">
        <f t="shared" si="35"/>
        <v>0.07248272691247037</v>
      </c>
      <c r="F306" s="105"/>
      <c r="G306" s="214"/>
      <c r="I306" s="147">
        <v>13.996939017912041</v>
      </c>
      <c r="J306" s="133">
        <v>8.382102916313187</v>
      </c>
      <c r="K306" s="152">
        <f t="shared" si="36"/>
        <v>22.379041934225228</v>
      </c>
      <c r="T306" s="4" t="e">
        <f>#REF!/100000</f>
        <v>#REF!</v>
      </c>
    </row>
    <row r="307" spans="1:20" ht="12.75" customHeight="1">
      <c r="A307" s="273">
        <v>6</v>
      </c>
      <c r="B307" s="96" t="s">
        <v>138</v>
      </c>
      <c r="C307" s="156">
        <v>187.12</v>
      </c>
      <c r="D307" s="133">
        <v>13.532396688601892</v>
      </c>
      <c r="E307" s="423">
        <f t="shared" si="35"/>
        <v>0.07231934955430681</v>
      </c>
      <c r="F307" s="105"/>
      <c r="G307" s="214"/>
      <c r="I307" s="147">
        <v>8.77408785196316</v>
      </c>
      <c r="J307" s="133">
        <v>4.758308836638733</v>
      </c>
      <c r="K307" s="152">
        <f t="shared" si="36"/>
        <v>13.532396688601892</v>
      </c>
      <c r="T307" s="4" t="e">
        <f>#REF!/100000</f>
        <v>#REF!</v>
      </c>
    </row>
    <row r="308" spans="1:20" ht="12.75" customHeight="1">
      <c r="A308" s="273">
        <v>7</v>
      </c>
      <c r="B308" s="96" t="s">
        <v>139</v>
      </c>
      <c r="C308" s="156">
        <v>127.47999999999999</v>
      </c>
      <c r="D308" s="133">
        <v>9.202983380102893</v>
      </c>
      <c r="E308" s="423">
        <f t="shared" si="35"/>
        <v>0.0721915859750776</v>
      </c>
      <c r="F308" s="105"/>
      <c r="G308" s="214"/>
      <c r="I308" s="147">
        <v>6.211103264371459</v>
      </c>
      <c r="J308" s="133">
        <v>2.9918801157314334</v>
      </c>
      <c r="K308" s="152">
        <f t="shared" si="36"/>
        <v>9.202983380102893</v>
      </c>
      <c r="T308" s="4" t="e">
        <f>#REF!/100000</f>
        <v>#REF!</v>
      </c>
    </row>
    <row r="309" spans="1:20" ht="12.75" customHeight="1" thickBot="1">
      <c r="A309" s="273">
        <v>8</v>
      </c>
      <c r="B309" s="96" t="s">
        <v>140</v>
      </c>
      <c r="C309" s="156">
        <v>81.31</v>
      </c>
      <c r="D309" s="133">
        <v>5.950431889158853</v>
      </c>
      <c r="E309" s="423">
        <f t="shared" si="35"/>
        <v>0.07318204266583266</v>
      </c>
      <c r="F309" s="105"/>
      <c r="G309" s="214"/>
      <c r="H309" s="4" t="s">
        <v>107</v>
      </c>
      <c r="I309" s="148">
        <v>3.0643744614181294</v>
      </c>
      <c r="J309" s="150">
        <v>2.886057427740724</v>
      </c>
      <c r="K309" s="153">
        <f t="shared" si="36"/>
        <v>5.950431889158853</v>
      </c>
      <c r="T309" s="4" t="e">
        <f>#REF!/100000</f>
        <v>#REF!</v>
      </c>
    </row>
    <row r="310" spans="1:20" ht="12.75" customHeight="1" thickBot="1">
      <c r="A310" s="403"/>
      <c r="B310" s="295" t="s">
        <v>56</v>
      </c>
      <c r="C310" s="309">
        <v>1607.8400000000001</v>
      </c>
      <c r="D310" s="309">
        <v>116.62962577679987</v>
      </c>
      <c r="E310" s="424">
        <f t="shared" si="35"/>
        <v>0.07253807952084776</v>
      </c>
      <c r="F310" s="105"/>
      <c r="G310" s="214"/>
      <c r="H310" s="41"/>
      <c r="I310" s="149">
        <v>72.12307880639962</v>
      </c>
      <c r="J310" s="149">
        <v>44.506546970400244</v>
      </c>
      <c r="K310" s="154">
        <f>SUM(K302:K309)</f>
        <v>116.62962577679987</v>
      </c>
      <c r="T310" s="4" t="e">
        <f>#REF!/100000</f>
        <v>#REF!</v>
      </c>
    </row>
    <row r="311" spans="1:20" ht="12.75" customHeight="1">
      <c r="A311" s="72"/>
      <c r="B311" s="56"/>
      <c r="C311" s="71"/>
      <c r="D311" s="71"/>
      <c r="E311" s="78"/>
      <c r="F311" s="105"/>
      <c r="G311" s="214"/>
      <c r="T311" s="4" t="e">
        <f>#REF!/100000</f>
        <v>#REF!</v>
      </c>
    </row>
    <row r="312" spans="1:20" ht="21" customHeight="1">
      <c r="A312" s="45" t="s">
        <v>244</v>
      </c>
      <c r="B312" s="46"/>
      <c r="C312" s="425"/>
      <c r="D312" s="425"/>
      <c r="E312" s="5"/>
      <c r="F312" s="48"/>
      <c r="G312" s="200"/>
      <c r="T312" s="4" t="e">
        <f>#REF!/100000</f>
        <v>#REF!</v>
      </c>
    </row>
    <row r="313" spans="1:20" ht="12.75" hidden="1">
      <c r="A313" s="48"/>
      <c r="B313" s="48"/>
      <c r="C313" s="48"/>
      <c r="D313" s="48"/>
      <c r="E313" s="48"/>
      <c r="F313" s="48"/>
      <c r="G313" s="200"/>
      <c r="I313" s="4">
        <v>302.5322500000001</v>
      </c>
      <c r="J313" s="4">
        <v>68.40112000000003</v>
      </c>
      <c r="K313" s="4">
        <f>SUM(I313:J313)</f>
        <v>370.93337000000014</v>
      </c>
      <c r="T313" s="4" t="e">
        <f>#REF!/100000</f>
        <v>#REF!</v>
      </c>
    </row>
    <row r="314" spans="1:7" ht="12.75" hidden="1">
      <c r="A314" s="266" t="s">
        <v>33</v>
      </c>
      <c r="B314" s="266" t="s">
        <v>47</v>
      </c>
      <c r="C314" s="266" t="s">
        <v>34</v>
      </c>
      <c r="D314" s="426"/>
      <c r="G314" s="194"/>
    </row>
    <row r="315" spans="1:7" ht="12.75" hidden="1">
      <c r="A315" s="427">
        <v>1</v>
      </c>
      <c r="B315" s="428">
        <f>B316/A316</f>
        <v>1.1043019786255908</v>
      </c>
      <c r="C315" s="428">
        <f>C316/A316</f>
        <v>0.85</v>
      </c>
      <c r="D315" s="426"/>
      <c r="G315" s="194"/>
    </row>
    <row r="316" spans="1:7" ht="12.75" hidden="1">
      <c r="A316" s="429">
        <v>47718.17</v>
      </c>
      <c r="B316" s="335">
        <v>52695.2695473923</v>
      </c>
      <c r="C316" s="335">
        <f>A316*85/100</f>
        <v>40560.4445</v>
      </c>
      <c r="D316" s="429"/>
      <c r="G316" s="194"/>
    </row>
    <row r="317" ht="12.75" hidden="1">
      <c r="G317" s="194"/>
    </row>
    <row r="318" ht="12.75" hidden="1">
      <c r="G318" s="194"/>
    </row>
    <row r="319" ht="8.25" customHeight="1" thickBot="1">
      <c r="G319" s="194"/>
    </row>
    <row r="320" spans="1:7" ht="25.5">
      <c r="A320" s="316" t="s">
        <v>33</v>
      </c>
      <c r="B320" s="317" t="s">
        <v>312</v>
      </c>
      <c r="C320" s="317" t="s">
        <v>236</v>
      </c>
      <c r="D320" s="317" t="s">
        <v>35</v>
      </c>
      <c r="E320" s="317" t="s">
        <v>36</v>
      </c>
      <c r="F320" s="319" t="s">
        <v>55</v>
      </c>
      <c r="G320" s="194"/>
    </row>
    <row r="321" spans="1:7" ht="13.5" thickBot="1">
      <c r="A321" s="430">
        <f>C310</f>
        <v>1607.8400000000001</v>
      </c>
      <c r="B321" s="364">
        <f>D335</f>
        <v>100.67</v>
      </c>
      <c r="C321" s="339">
        <f>E335</f>
        <v>1623.6116600000003</v>
      </c>
      <c r="D321" s="364">
        <f>B321+C321</f>
        <v>1724.2816600000003</v>
      </c>
      <c r="E321" s="365">
        <f>D321/A321</f>
        <v>1.0724211737486318</v>
      </c>
      <c r="F321" s="366">
        <f>A321*85/100</f>
        <v>1366.6640000000002</v>
      </c>
      <c r="G321" s="194"/>
    </row>
    <row r="322" spans="1:7" ht="12.75">
      <c r="A322" s="420"/>
      <c r="B322" s="74"/>
      <c r="C322" s="367"/>
      <c r="D322" s="367"/>
      <c r="E322" s="368"/>
      <c r="F322" s="77"/>
      <c r="G322" s="78"/>
    </row>
    <row r="323" spans="1:7" ht="15">
      <c r="A323" s="14" t="s">
        <v>266</v>
      </c>
      <c r="B323" s="45"/>
      <c r="C323" s="358"/>
      <c r="D323" s="45"/>
      <c r="E323" s="45"/>
      <c r="F323" s="48"/>
      <c r="G323" s="48"/>
    </row>
    <row r="324" spans="1:7" ht="13.5" thickBot="1">
      <c r="A324" s="48"/>
      <c r="B324" s="48"/>
      <c r="C324" s="48"/>
      <c r="D324" s="48"/>
      <c r="E324" s="48"/>
      <c r="F324" s="48"/>
      <c r="G324" s="48" t="s">
        <v>10</v>
      </c>
    </row>
    <row r="325" spans="1:11" ht="45.75" customHeight="1">
      <c r="A325" s="413" t="s">
        <v>26</v>
      </c>
      <c r="B325" s="414" t="s">
        <v>27</v>
      </c>
      <c r="C325" s="317" t="str">
        <f>C300</f>
        <v>Allocation for 2017-18                                     </v>
      </c>
      <c r="D325" s="317" t="str">
        <f>D286</f>
        <v>Opening Balance as on 1.4.2017                                            </v>
      </c>
      <c r="E325" s="317" t="s">
        <v>45</v>
      </c>
      <c r="F325" s="317" t="s">
        <v>44</v>
      </c>
      <c r="G325" s="319" t="s">
        <v>46</v>
      </c>
      <c r="I325" s="144" t="s">
        <v>203</v>
      </c>
      <c r="J325" s="145" t="s">
        <v>223</v>
      </c>
      <c r="K325" s="146" t="s">
        <v>3</v>
      </c>
    </row>
    <row r="326" spans="1:12" s="33" customFormat="1" ht="13.5" customHeight="1">
      <c r="A326" s="415">
        <v>1</v>
      </c>
      <c r="B326" s="416">
        <v>2</v>
      </c>
      <c r="C326" s="422">
        <v>3</v>
      </c>
      <c r="D326" s="422">
        <v>4</v>
      </c>
      <c r="E326" s="422">
        <v>5</v>
      </c>
      <c r="F326" s="422">
        <v>6</v>
      </c>
      <c r="G326" s="323">
        <v>7</v>
      </c>
      <c r="I326" s="560" t="s">
        <v>235</v>
      </c>
      <c r="J326" s="561"/>
      <c r="K326" s="562"/>
      <c r="L326" s="18" t="s">
        <v>236</v>
      </c>
    </row>
    <row r="327" spans="1:14" ht="12.75">
      <c r="A327" s="273">
        <v>1</v>
      </c>
      <c r="B327" s="96" t="s">
        <v>133</v>
      </c>
      <c r="C327" s="133">
        <v>326.6</v>
      </c>
      <c r="D327" s="431">
        <v>20.66</v>
      </c>
      <c r="E327" s="133">
        <v>330.17116252505815</v>
      </c>
      <c r="F327" s="432">
        <f aca="true" t="shared" si="37" ref="F327:F334">D327+E327</f>
        <v>350.8311625250582</v>
      </c>
      <c r="G327" s="423">
        <f aca="true" t="shared" si="38" ref="G327:G335">F327/C327</f>
        <v>1.0741921693969938</v>
      </c>
      <c r="I327" s="147">
        <v>192.9033072710177</v>
      </c>
      <c r="J327" s="133">
        <v>137.26785525404046</v>
      </c>
      <c r="K327" s="152">
        <f aca="true" t="shared" si="39" ref="K327:K334">SUM(I327:J327)</f>
        <v>330.17116252505815</v>
      </c>
      <c r="N327" s="33"/>
    </row>
    <row r="328" spans="1:11" ht="12.75">
      <c r="A328" s="273">
        <v>2</v>
      </c>
      <c r="B328" s="96" t="s">
        <v>134</v>
      </c>
      <c r="C328" s="133">
        <v>171.2</v>
      </c>
      <c r="D328" s="431">
        <v>10.86</v>
      </c>
      <c r="E328" s="133">
        <v>173.13527294933454</v>
      </c>
      <c r="F328" s="432">
        <f t="shared" si="37"/>
        <v>183.99527294933455</v>
      </c>
      <c r="G328" s="423">
        <f t="shared" si="38"/>
        <v>1.0747387438629354</v>
      </c>
      <c r="I328" s="147">
        <v>98.19375822352745</v>
      </c>
      <c r="J328" s="133">
        <v>74.94151472580707</v>
      </c>
      <c r="K328" s="152">
        <f t="shared" si="39"/>
        <v>173.13527294933454</v>
      </c>
    </row>
    <row r="329" spans="1:11" ht="12.75">
      <c r="A329" s="273">
        <v>3</v>
      </c>
      <c r="B329" s="96" t="s">
        <v>135</v>
      </c>
      <c r="C329" s="133">
        <v>134.65</v>
      </c>
      <c r="D329" s="431">
        <v>8.450000000000001</v>
      </c>
      <c r="E329" s="133">
        <v>135.97912066387875</v>
      </c>
      <c r="F329" s="432">
        <f t="shared" si="37"/>
        <v>144.42912066387873</v>
      </c>
      <c r="G329" s="423">
        <f t="shared" si="38"/>
        <v>1.0726262210462587</v>
      </c>
      <c r="I329" s="147">
        <v>85.44923644653967</v>
      </c>
      <c r="J329" s="133">
        <v>50.529884217339074</v>
      </c>
      <c r="K329" s="152">
        <f t="shared" si="39"/>
        <v>135.97912066387875</v>
      </c>
    </row>
    <row r="330" spans="1:14" ht="12.75">
      <c r="A330" s="273">
        <v>4</v>
      </c>
      <c r="B330" s="96" t="s">
        <v>136</v>
      </c>
      <c r="C330" s="133">
        <v>270.73</v>
      </c>
      <c r="D330" s="431">
        <v>16.67</v>
      </c>
      <c r="E330" s="133">
        <v>272.90570392813925</v>
      </c>
      <c r="F330" s="432">
        <f t="shared" si="37"/>
        <v>289.57570392813926</v>
      </c>
      <c r="G330" s="423">
        <f t="shared" si="38"/>
        <v>1.0696106967389623</v>
      </c>
      <c r="I330" s="147">
        <v>194.8507549853807</v>
      </c>
      <c r="J330" s="133">
        <v>78.05494894275859</v>
      </c>
      <c r="K330" s="152">
        <f t="shared" si="39"/>
        <v>272.90570392813925</v>
      </c>
      <c r="N330" s="33"/>
    </row>
    <row r="331" spans="1:14" ht="12.75">
      <c r="A331" s="273">
        <v>5</v>
      </c>
      <c r="B331" s="96" t="s">
        <v>137</v>
      </c>
      <c r="C331" s="133">
        <v>308.75</v>
      </c>
      <c r="D331" s="431">
        <v>19.299999999999997</v>
      </c>
      <c r="E331" s="133">
        <v>311.72842568575504</v>
      </c>
      <c r="F331" s="432">
        <f t="shared" si="37"/>
        <v>331.02842568575505</v>
      </c>
      <c r="G331" s="423">
        <f t="shared" si="38"/>
        <v>1.072156844326332</v>
      </c>
      <c r="I331" s="147">
        <v>199.63326263765987</v>
      </c>
      <c r="J331" s="133">
        <v>112.09516304809517</v>
      </c>
      <c r="K331" s="152">
        <f t="shared" si="39"/>
        <v>311.72842568575504</v>
      </c>
      <c r="N331" s="33"/>
    </row>
    <row r="332" spans="1:14" ht="12.75">
      <c r="A332" s="273">
        <v>6</v>
      </c>
      <c r="B332" s="96" t="s">
        <v>138</v>
      </c>
      <c r="C332" s="133">
        <v>187.12</v>
      </c>
      <c r="D332" s="431">
        <v>11.64</v>
      </c>
      <c r="E332" s="133">
        <v>188.83053558237495</v>
      </c>
      <c r="F332" s="432">
        <f t="shared" si="37"/>
        <v>200.47053558237496</v>
      </c>
      <c r="G332" s="423">
        <f t="shared" si="38"/>
        <v>1.071347453945997</v>
      </c>
      <c r="I332" s="147">
        <v>125.1665714646367</v>
      </c>
      <c r="J332" s="133">
        <v>63.66396411773825</v>
      </c>
      <c r="K332" s="152">
        <f t="shared" si="39"/>
        <v>188.83053558237495</v>
      </c>
      <c r="N332" s="33"/>
    </row>
    <row r="333" spans="1:14" ht="12.75">
      <c r="A333" s="273">
        <v>7</v>
      </c>
      <c r="B333" s="96" t="s">
        <v>139</v>
      </c>
      <c r="C333" s="133">
        <v>127.47999999999999</v>
      </c>
      <c r="D333" s="431">
        <v>7.889999999999999</v>
      </c>
      <c r="E333" s="133">
        <v>128.5712340928784</v>
      </c>
      <c r="F333" s="432">
        <f t="shared" si="37"/>
        <v>136.46123409287839</v>
      </c>
      <c r="G333" s="423">
        <f t="shared" si="38"/>
        <v>1.0704521030191276</v>
      </c>
      <c r="I333" s="147">
        <v>88.61549497533392</v>
      </c>
      <c r="J333" s="133">
        <v>39.955739117544475</v>
      </c>
      <c r="K333" s="152">
        <f t="shared" si="39"/>
        <v>128.5712340928784</v>
      </c>
      <c r="N333" s="33"/>
    </row>
    <row r="334" spans="1:14" ht="13.5" thickBot="1">
      <c r="A334" s="273">
        <v>8</v>
      </c>
      <c r="B334" s="96" t="s">
        <v>140</v>
      </c>
      <c r="C334" s="133">
        <v>81.31</v>
      </c>
      <c r="D334" s="431">
        <v>5.2</v>
      </c>
      <c r="E334" s="133">
        <v>82.29020457258115</v>
      </c>
      <c r="F334" s="432">
        <f t="shared" si="37"/>
        <v>87.49020457258115</v>
      </c>
      <c r="G334" s="423">
        <f t="shared" si="38"/>
        <v>1.0760079273469578</v>
      </c>
      <c r="I334" s="148">
        <v>43.718213995904016</v>
      </c>
      <c r="J334" s="150">
        <v>38.57199057667713</v>
      </c>
      <c r="K334" s="153">
        <f t="shared" si="39"/>
        <v>82.29020457258115</v>
      </c>
      <c r="N334" s="33"/>
    </row>
    <row r="335" spans="1:11" ht="15.75" thickBot="1">
      <c r="A335" s="403"/>
      <c r="B335" s="295" t="s">
        <v>56</v>
      </c>
      <c r="C335" s="309">
        <v>1607.8400000000001</v>
      </c>
      <c r="D335" s="433">
        <v>100.67</v>
      </c>
      <c r="E335" s="433">
        <v>1623.6116600000003</v>
      </c>
      <c r="F335" s="433">
        <f>SUM(F327:F334)</f>
        <v>1724.2816600000006</v>
      </c>
      <c r="G335" s="424">
        <f t="shared" si="38"/>
        <v>1.072421173748632</v>
      </c>
      <c r="I335" s="149">
        <v>1028.5306</v>
      </c>
      <c r="J335" s="151">
        <v>595.0810600000001</v>
      </c>
      <c r="K335" s="154">
        <f>SUM(K327:K334)</f>
        <v>1623.6116600000003</v>
      </c>
    </row>
    <row r="336" spans="1:7" ht="6" customHeight="1">
      <c r="A336" s="434"/>
      <c r="B336" s="74"/>
      <c r="C336" s="367"/>
      <c r="D336" s="367"/>
      <c r="E336" s="368"/>
      <c r="F336" s="77"/>
      <c r="G336" s="78"/>
    </row>
    <row r="337" spans="1:8" ht="15">
      <c r="A337" s="45" t="s">
        <v>221</v>
      </c>
      <c r="B337" s="46"/>
      <c r="C337" s="63"/>
      <c r="D337" s="48"/>
      <c r="E337" s="48"/>
      <c r="F337" s="48"/>
      <c r="G337" s="48"/>
      <c r="H337" s="48"/>
    </row>
    <row r="338" spans="1:8" ht="17.25" customHeight="1">
      <c r="A338" s="48"/>
      <c r="B338" s="48"/>
      <c r="C338" s="64"/>
      <c r="D338" s="48"/>
      <c r="E338" s="48"/>
      <c r="F338" s="200"/>
      <c r="G338" s="48"/>
      <c r="H338" s="48"/>
    </row>
    <row r="339" spans="1:6" ht="12.75">
      <c r="A339" s="435" t="s">
        <v>33</v>
      </c>
      <c r="B339" s="435" t="s">
        <v>245</v>
      </c>
      <c r="C339" s="435" t="s">
        <v>58</v>
      </c>
      <c r="D339" s="435" t="s">
        <v>38</v>
      </c>
      <c r="E339" s="435" t="s">
        <v>37</v>
      </c>
      <c r="F339" s="194"/>
    </row>
    <row r="340" spans="1:6" ht="12.75">
      <c r="A340" s="133">
        <f>C355</f>
        <v>1607.8400000000001</v>
      </c>
      <c r="B340" s="133">
        <f>E335</f>
        <v>1623.6116600000003</v>
      </c>
      <c r="C340" s="436">
        <f>B340/A340</f>
        <v>1.0098092223106778</v>
      </c>
      <c r="D340" s="133">
        <f>D355</f>
        <v>1469.3126699812005</v>
      </c>
      <c r="E340" s="437">
        <f>D340/A340</f>
        <v>0.9138425900470198</v>
      </c>
      <c r="F340" s="194"/>
    </row>
    <row r="341" spans="1:6" ht="12.75" hidden="1">
      <c r="A341" s="438">
        <v>47718.17</v>
      </c>
      <c r="B341" s="334">
        <v>52695.2695473923</v>
      </c>
      <c r="C341" s="438">
        <v>21852.21479</v>
      </c>
      <c r="D341" s="335">
        <f>A341*75/100</f>
        <v>35788.6275</v>
      </c>
      <c r="F341" s="194"/>
    </row>
    <row r="342" spans="1:8" ht="9.75" customHeight="1">
      <c r="A342" s="48"/>
      <c r="B342" s="48"/>
      <c r="C342" s="48"/>
      <c r="D342" s="48"/>
      <c r="E342" s="48"/>
      <c r="F342" s="200"/>
      <c r="G342" s="48"/>
      <c r="H342" s="48"/>
    </row>
    <row r="343" spans="1:6" ht="15">
      <c r="A343" s="14" t="s">
        <v>267</v>
      </c>
      <c r="B343" s="234"/>
      <c r="C343" s="234"/>
      <c r="D343" s="234"/>
      <c r="E343" s="234"/>
      <c r="F343" s="193"/>
    </row>
    <row r="344" spans="1:8" ht="13.5" thickBot="1">
      <c r="A344" s="48"/>
      <c r="B344" s="48"/>
      <c r="C344" s="48"/>
      <c r="D344" s="48"/>
      <c r="E344" s="48" t="s">
        <v>10</v>
      </c>
      <c r="F344" s="200"/>
      <c r="G344" s="48"/>
      <c r="H344" s="48"/>
    </row>
    <row r="345" spans="1:11" ht="41.25" customHeight="1">
      <c r="A345" s="87" t="s">
        <v>26</v>
      </c>
      <c r="B345" s="87" t="s">
        <v>27</v>
      </c>
      <c r="C345" s="87" t="str">
        <f>C325</f>
        <v>Allocation for 2017-18                                     </v>
      </c>
      <c r="D345" s="87" t="s">
        <v>49</v>
      </c>
      <c r="E345" s="87" t="s">
        <v>48</v>
      </c>
      <c r="F345" s="200"/>
      <c r="G345" s="48"/>
      <c r="H345" s="48"/>
      <c r="I345" s="144" t="s">
        <v>203</v>
      </c>
      <c r="J345" s="145" t="s">
        <v>223</v>
      </c>
      <c r="K345" s="146" t="s">
        <v>3</v>
      </c>
    </row>
    <row r="346" spans="1:11" s="18" customFormat="1" ht="12.75">
      <c r="A346" s="422">
        <v>1</v>
      </c>
      <c r="B346" s="422">
        <v>2</v>
      </c>
      <c r="C346" s="422">
        <v>3</v>
      </c>
      <c r="D346" s="422">
        <v>4</v>
      </c>
      <c r="E346" s="422">
        <v>5</v>
      </c>
      <c r="F346" s="201"/>
      <c r="G346" s="49"/>
      <c r="H346" s="49"/>
      <c r="I346" s="560" t="s">
        <v>237</v>
      </c>
      <c r="J346" s="561"/>
      <c r="K346" s="562"/>
    </row>
    <row r="347" spans="1:11" ht="12.75" customHeight="1">
      <c r="A347" s="411">
        <v>1</v>
      </c>
      <c r="B347" s="96" t="s">
        <v>133</v>
      </c>
      <c r="C347" s="133">
        <f>C327</f>
        <v>326.6</v>
      </c>
      <c r="D347" s="133">
        <v>299.1492308615643</v>
      </c>
      <c r="E347" s="436">
        <f>D347/C347</f>
        <v>0.9159498801640058</v>
      </c>
      <c r="F347" s="200"/>
      <c r="G347" s="48"/>
      <c r="H347" s="48"/>
      <c r="I347" s="147">
        <v>173.02369940816413</v>
      </c>
      <c r="J347" s="133">
        <v>126.12553145340016</v>
      </c>
      <c r="K347" s="152">
        <f aca="true" t="shared" si="40" ref="K347:K354">SUM(I347:J347)</f>
        <v>299.1492308615643</v>
      </c>
    </row>
    <row r="348" spans="1:11" ht="12.75" customHeight="1">
      <c r="A348" s="411">
        <v>2</v>
      </c>
      <c r="B348" s="96" t="s">
        <v>134</v>
      </c>
      <c r="C348" s="133">
        <f aca="true" t="shared" si="41" ref="C348:C354">C328</f>
        <v>171.2</v>
      </c>
      <c r="D348" s="133">
        <v>156.9327746507878</v>
      </c>
      <c r="E348" s="436">
        <f>D348/C348</f>
        <v>0.916663403334041</v>
      </c>
      <c r="F348" s="200"/>
      <c r="G348" s="48"/>
      <c r="H348" s="48"/>
      <c r="I348" s="147">
        <v>88.07442208730937</v>
      </c>
      <c r="J348" s="133">
        <v>68.85835256347843</v>
      </c>
      <c r="K348" s="152">
        <f t="shared" si="40"/>
        <v>156.9327746507878</v>
      </c>
    </row>
    <row r="349" spans="1:11" ht="12.75" customHeight="1">
      <c r="A349" s="411">
        <v>3</v>
      </c>
      <c r="B349" s="96" t="s">
        <v>135</v>
      </c>
      <c r="C349" s="133">
        <f t="shared" si="41"/>
        <v>134.65</v>
      </c>
      <c r="D349" s="133">
        <v>123.07155022696801</v>
      </c>
      <c r="E349" s="436">
        <f>D349/C349</f>
        <v>0.9140107703451021</v>
      </c>
      <c r="F349" s="200"/>
      <c r="G349" s="48"/>
      <c r="H349" s="48"/>
      <c r="I349" s="147">
        <v>76.64328419632291</v>
      </c>
      <c r="J349" s="133">
        <v>46.428266030645105</v>
      </c>
      <c r="K349" s="152">
        <f t="shared" si="40"/>
        <v>123.07155022696801</v>
      </c>
    </row>
    <row r="350" spans="1:11" ht="12.75" customHeight="1">
      <c r="A350" s="411">
        <v>4</v>
      </c>
      <c r="B350" s="96" t="s">
        <v>136</v>
      </c>
      <c r="C350" s="133">
        <f t="shared" si="41"/>
        <v>270.73</v>
      </c>
      <c r="D350" s="133">
        <v>246.48951602934739</v>
      </c>
      <c r="E350" s="436">
        <f aca="true" t="shared" si="42" ref="E350:E355">D350/C350</f>
        <v>0.9104625125746957</v>
      </c>
      <c r="F350" s="200"/>
      <c r="G350" s="48"/>
      <c r="H350" s="48"/>
      <c r="I350" s="147">
        <v>174.77045332705697</v>
      </c>
      <c r="J350" s="133">
        <v>71.71906270229043</v>
      </c>
      <c r="K350" s="152">
        <f t="shared" si="40"/>
        <v>246.48951602934739</v>
      </c>
    </row>
    <row r="351" spans="1:11" ht="12.75" customHeight="1">
      <c r="A351" s="411">
        <v>5</v>
      </c>
      <c r="B351" s="96" t="s">
        <v>137</v>
      </c>
      <c r="C351" s="133">
        <f t="shared" si="41"/>
        <v>308.75</v>
      </c>
      <c r="D351" s="133">
        <v>282.0562609260753</v>
      </c>
      <c r="E351" s="436">
        <f t="shared" si="42"/>
        <v>0.9135425455095557</v>
      </c>
      <c r="F351" s="200"/>
      <c r="G351" s="48"/>
      <c r="H351" s="48"/>
      <c r="I351" s="147">
        <v>179.060100706107</v>
      </c>
      <c r="J351" s="133">
        <v>102.99616021996829</v>
      </c>
      <c r="K351" s="152">
        <f t="shared" si="40"/>
        <v>282.0562609260753</v>
      </c>
    </row>
    <row r="352" spans="1:11" ht="12.75" customHeight="1">
      <c r="A352" s="411">
        <v>6</v>
      </c>
      <c r="B352" s="96" t="s">
        <v>138</v>
      </c>
      <c r="C352" s="133">
        <f t="shared" si="41"/>
        <v>187.12</v>
      </c>
      <c r="D352" s="133">
        <v>170.76378272529982</v>
      </c>
      <c r="E352" s="436">
        <f t="shared" si="42"/>
        <v>0.9125896896392679</v>
      </c>
      <c r="F352" s="200"/>
      <c r="G352" s="48"/>
      <c r="H352" s="48"/>
      <c r="I352" s="147">
        <v>112.26755799796263</v>
      </c>
      <c r="J352" s="133">
        <v>58.4962247273372</v>
      </c>
      <c r="K352" s="152">
        <f t="shared" si="40"/>
        <v>170.76378272529982</v>
      </c>
    </row>
    <row r="353" spans="1:11" ht="12.75" customHeight="1">
      <c r="A353" s="411">
        <v>7</v>
      </c>
      <c r="B353" s="96" t="s">
        <v>139</v>
      </c>
      <c r="C353" s="133">
        <f t="shared" si="41"/>
        <v>127.47999999999999</v>
      </c>
      <c r="D353" s="133">
        <v>116.19569143090965</v>
      </c>
      <c r="E353" s="436">
        <f t="shared" si="42"/>
        <v>0.9114817338477381</v>
      </c>
      <c r="F353" s="200"/>
      <c r="G353" s="48"/>
      <c r="H353" s="48"/>
      <c r="I353" s="147">
        <v>79.483244649489</v>
      </c>
      <c r="J353" s="133">
        <v>36.712446781420645</v>
      </c>
      <c r="K353" s="152">
        <f t="shared" si="40"/>
        <v>116.19569143090965</v>
      </c>
    </row>
    <row r="354" spans="1:11" ht="12.75" customHeight="1" thickBot="1">
      <c r="A354" s="411">
        <v>8</v>
      </c>
      <c r="B354" s="96" t="s">
        <v>140</v>
      </c>
      <c r="C354" s="133">
        <f t="shared" si="41"/>
        <v>81.31</v>
      </c>
      <c r="D354" s="133">
        <v>74.65386313024823</v>
      </c>
      <c r="E354" s="436">
        <f t="shared" si="42"/>
        <v>0.9181387668214024</v>
      </c>
      <c r="F354" s="200"/>
      <c r="G354" s="48"/>
      <c r="H354" s="48"/>
      <c r="I354" s="148">
        <v>39.21284307718847</v>
      </c>
      <c r="J354" s="150">
        <v>35.441020053059766</v>
      </c>
      <c r="K354" s="153">
        <f t="shared" si="40"/>
        <v>74.65386313024823</v>
      </c>
    </row>
    <row r="355" spans="1:11" s="13" customFormat="1" ht="12.75" customHeight="1" thickBot="1">
      <c r="A355" s="439"/>
      <c r="B355" s="440" t="s">
        <v>56</v>
      </c>
      <c r="C355" s="441">
        <f>SUM(C347:C354)</f>
        <v>1607.8400000000001</v>
      </c>
      <c r="D355" s="441">
        <v>1469.3126699812005</v>
      </c>
      <c r="E355" s="436">
        <f t="shared" si="42"/>
        <v>0.9138425900470198</v>
      </c>
      <c r="F355" s="199"/>
      <c r="G355" s="47"/>
      <c r="H355" s="47"/>
      <c r="I355" s="149">
        <v>922.5356054496004</v>
      </c>
      <c r="J355" s="151">
        <v>546.7770645316</v>
      </c>
      <c r="K355" s="154">
        <f>SUM(K347:K354)</f>
        <v>1469.3126699812005</v>
      </c>
    </row>
    <row r="356" spans="1:11" s="13" customFormat="1" ht="12.75" customHeight="1">
      <c r="A356" s="120"/>
      <c r="B356" s="121"/>
      <c r="C356" s="138"/>
      <c r="D356" s="139"/>
      <c r="E356" s="136"/>
      <c r="F356" s="47"/>
      <c r="G356" s="47"/>
      <c r="H356" s="47"/>
      <c r="K356" s="4"/>
    </row>
    <row r="357" spans="1:8" ht="12.75">
      <c r="A357" s="47" t="s">
        <v>284</v>
      </c>
      <c r="B357" s="48"/>
      <c r="C357" s="48"/>
      <c r="D357" s="48"/>
      <c r="E357" s="48"/>
      <c r="F357" s="48"/>
      <c r="G357" s="48"/>
      <c r="H357" s="48"/>
    </row>
    <row r="358" spans="1:8" ht="12.75">
      <c r="A358" s="47"/>
      <c r="B358" s="48"/>
      <c r="C358" s="48"/>
      <c r="D358" s="48"/>
      <c r="E358" s="48"/>
      <c r="F358" s="48"/>
      <c r="G358" s="48"/>
      <c r="H358" s="48"/>
    </row>
    <row r="359" spans="1:8" ht="15">
      <c r="A359" s="45" t="s">
        <v>170</v>
      </c>
      <c r="B359" s="46"/>
      <c r="C359" s="46"/>
      <c r="D359" s="46"/>
      <c r="E359" s="48"/>
      <c r="F359" s="48"/>
      <c r="G359" s="48"/>
      <c r="H359" s="48"/>
    </row>
    <row r="360" spans="2:8" ht="12" customHeight="1">
      <c r="B360" s="48"/>
      <c r="C360" s="48"/>
      <c r="D360" s="48"/>
      <c r="E360" s="48"/>
      <c r="F360" s="48"/>
      <c r="G360" s="48"/>
      <c r="H360" s="48"/>
    </row>
    <row r="361" spans="1:6" ht="39" customHeight="1">
      <c r="A361" s="87" t="s">
        <v>1</v>
      </c>
      <c r="B361" s="87" t="s">
        <v>2</v>
      </c>
      <c r="C361" s="442" t="s">
        <v>28</v>
      </c>
      <c r="D361" s="442" t="s">
        <v>29</v>
      </c>
      <c r="E361" s="87" t="s">
        <v>50</v>
      </c>
      <c r="F361" s="50"/>
    </row>
    <row r="362" spans="1:6" s="18" customFormat="1" ht="12" customHeight="1">
      <c r="A362" s="321">
        <v>1</v>
      </c>
      <c r="B362" s="321">
        <v>2</v>
      </c>
      <c r="C362" s="322">
        <v>3</v>
      </c>
      <c r="D362" s="322">
        <v>4</v>
      </c>
      <c r="E362" s="321">
        <v>5</v>
      </c>
      <c r="F362" s="51"/>
    </row>
    <row r="363" spans="1:7" ht="13.5" customHeight="1">
      <c r="A363" s="411">
        <v>1</v>
      </c>
      <c r="B363" s="96" t="s">
        <v>133</v>
      </c>
      <c r="C363" s="443">
        <v>0.9292701067965253</v>
      </c>
      <c r="D363" s="436">
        <v>0.9159498801640058</v>
      </c>
      <c r="E363" s="444">
        <f aca="true" t="shared" si="43" ref="E363:E371">(D363-C363)*100</f>
        <v>-1.3320226632519527</v>
      </c>
      <c r="F363" s="106"/>
      <c r="G363" s="24"/>
    </row>
    <row r="364" spans="1:7" ht="13.5" customHeight="1">
      <c r="A364" s="411">
        <v>2</v>
      </c>
      <c r="B364" s="96" t="s">
        <v>134</v>
      </c>
      <c r="C364" s="443">
        <v>0.9292255119203352</v>
      </c>
      <c r="D364" s="436">
        <v>0.916663403334041</v>
      </c>
      <c r="E364" s="444">
        <f t="shared" si="43"/>
        <v>-1.2562108586294252</v>
      </c>
      <c r="F364" s="106"/>
      <c r="G364" s="24"/>
    </row>
    <row r="365" spans="1:7" ht="13.5" customHeight="1">
      <c r="A365" s="411">
        <v>3</v>
      </c>
      <c r="B365" s="96" t="s">
        <v>135</v>
      </c>
      <c r="C365" s="443">
        <v>0.9294214479234542</v>
      </c>
      <c r="D365" s="436">
        <v>0.9140107703451021</v>
      </c>
      <c r="E365" s="444">
        <f t="shared" si="43"/>
        <v>-1.5410677578352017</v>
      </c>
      <c r="F365" s="106"/>
      <c r="G365" s="24"/>
    </row>
    <row r="366" spans="1:7" ht="13.5" customHeight="1">
      <c r="A366" s="411">
        <v>4</v>
      </c>
      <c r="B366" s="96" t="s">
        <v>136</v>
      </c>
      <c r="C366" s="443">
        <v>0.9297416999705888</v>
      </c>
      <c r="D366" s="436">
        <v>0.9104625125746957</v>
      </c>
      <c r="E366" s="444">
        <f t="shared" si="43"/>
        <v>-1.9279187395893072</v>
      </c>
      <c r="F366" s="106"/>
      <c r="G366" s="24"/>
    </row>
    <row r="367" spans="1:7" ht="13.5" customHeight="1">
      <c r="A367" s="411">
        <v>5</v>
      </c>
      <c r="B367" s="96" t="s">
        <v>137</v>
      </c>
      <c r="C367" s="443">
        <v>0.9294822806623211</v>
      </c>
      <c r="D367" s="436">
        <v>0.9135425455095557</v>
      </c>
      <c r="E367" s="444">
        <f t="shared" si="43"/>
        <v>-1.5939735152765366</v>
      </c>
      <c r="F367" s="106"/>
      <c r="G367" s="24"/>
    </row>
    <row r="368" spans="1:7" ht="13.5" customHeight="1">
      <c r="A368" s="411">
        <v>6</v>
      </c>
      <c r="B368" s="96" t="s">
        <v>138</v>
      </c>
      <c r="C368" s="443">
        <v>0.9295624332977588</v>
      </c>
      <c r="D368" s="436">
        <v>0.9125896896392679</v>
      </c>
      <c r="E368" s="444">
        <f t="shared" si="43"/>
        <v>-1.6972743658490885</v>
      </c>
      <c r="F368" s="106"/>
      <c r="G368" s="24"/>
    </row>
    <row r="369" spans="1:7" ht="13.5" customHeight="1">
      <c r="A369" s="411">
        <v>7</v>
      </c>
      <c r="B369" s="96" t="s">
        <v>139</v>
      </c>
      <c r="C369" s="443">
        <v>0.9296717772329759</v>
      </c>
      <c r="D369" s="436">
        <v>0.9114817338477381</v>
      </c>
      <c r="E369" s="444">
        <f t="shared" si="43"/>
        <v>-1.8190043385237775</v>
      </c>
      <c r="F369" s="106"/>
      <c r="G369" s="24"/>
    </row>
    <row r="370" spans="1:7" ht="13.5" customHeight="1">
      <c r="A370" s="411">
        <v>8</v>
      </c>
      <c r="B370" s="96" t="s">
        <v>140</v>
      </c>
      <c r="C370" s="443">
        <v>0.9290942616080906</v>
      </c>
      <c r="D370" s="436">
        <v>0.9181387668214024</v>
      </c>
      <c r="E370" s="444">
        <f t="shared" si="43"/>
        <v>-1.0955494786688225</v>
      </c>
      <c r="F370" s="106"/>
      <c r="G370" s="24"/>
    </row>
    <row r="371" spans="1:7" ht="13.5" customHeight="1">
      <c r="A371" s="411"/>
      <c r="B371" s="445" t="s">
        <v>56</v>
      </c>
      <c r="C371" s="446">
        <v>0.9294533895138624</v>
      </c>
      <c r="D371" s="447">
        <v>0.9138425900470198</v>
      </c>
      <c r="E371" s="444">
        <f t="shared" si="43"/>
        <v>-1.5610799466842518</v>
      </c>
      <c r="F371" s="106"/>
      <c r="G371" s="24"/>
    </row>
    <row r="372" spans="1:7" ht="14.25" customHeight="1">
      <c r="A372" s="73"/>
      <c r="B372" s="74"/>
      <c r="C372" s="75"/>
      <c r="D372" s="75"/>
      <c r="E372" s="76"/>
      <c r="F372" s="77"/>
      <c r="G372" s="78"/>
    </row>
    <row r="373" spans="1:8" ht="15">
      <c r="A373" s="45" t="s">
        <v>285</v>
      </c>
      <c r="B373" s="46"/>
      <c r="C373" s="46"/>
      <c r="D373" s="46"/>
      <c r="E373" s="46"/>
      <c r="F373" s="46"/>
      <c r="G373" s="46"/>
      <c r="H373" s="48"/>
    </row>
    <row r="374" spans="2:8" ht="11.25" customHeight="1">
      <c r="B374" s="48"/>
      <c r="C374" s="48"/>
      <c r="D374" s="48"/>
      <c r="E374" s="48"/>
      <c r="F374" s="48"/>
      <c r="G374" s="48"/>
      <c r="H374" s="48"/>
    </row>
    <row r="375" spans="2:8" ht="14.25" customHeight="1">
      <c r="B375" s="48"/>
      <c r="C375" s="48"/>
      <c r="D375" s="48"/>
      <c r="E375" s="341" t="s">
        <v>77</v>
      </c>
      <c r="F375" s="48"/>
      <c r="G375" s="48"/>
      <c r="H375" s="48"/>
    </row>
    <row r="376" spans="1:14" ht="52.5" customHeight="1">
      <c r="A376" s="87" t="s">
        <v>1</v>
      </c>
      <c r="B376" s="87" t="s">
        <v>2</v>
      </c>
      <c r="C376" s="442" t="s">
        <v>322</v>
      </c>
      <c r="D376" s="442" t="s">
        <v>78</v>
      </c>
      <c r="E376" s="442" t="s">
        <v>79</v>
      </c>
      <c r="F376" s="87" t="s">
        <v>80</v>
      </c>
      <c r="I376" s="557" t="s">
        <v>203</v>
      </c>
      <c r="J376" s="557"/>
      <c r="K376" s="557" t="s">
        <v>210</v>
      </c>
      <c r="L376" s="557"/>
      <c r="M376" s="557" t="s">
        <v>211</v>
      </c>
      <c r="N376" s="557"/>
    </row>
    <row r="377" spans="1:14" s="18" customFormat="1" ht="13.5" customHeight="1">
      <c r="A377" s="321">
        <v>1</v>
      </c>
      <c r="B377" s="321">
        <v>2</v>
      </c>
      <c r="C377" s="322">
        <v>3</v>
      </c>
      <c r="D377" s="449">
        <v>4</v>
      </c>
      <c r="E377" s="322">
        <v>5</v>
      </c>
      <c r="F377" s="321">
        <v>6</v>
      </c>
      <c r="I377" s="34" t="s">
        <v>212</v>
      </c>
      <c r="J377" s="34" t="s">
        <v>213</v>
      </c>
      <c r="K377" s="34" t="s">
        <v>212</v>
      </c>
      <c r="L377" s="34" t="s">
        <v>213</v>
      </c>
      <c r="M377" s="34" t="s">
        <v>212</v>
      </c>
      <c r="N377" s="34" t="s">
        <v>214</v>
      </c>
    </row>
    <row r="378" spans="1:14" ht="13.5" customHeight="1">
      <c r="A378" s="411">
        <v>1</v>
      </c>
      <c r="B378" s="293" t="s">
        <v>133</v>
      </c>
      <c r="C378" s="20">
        <v>5467792.550128463</v>
      </c>
      <c r="D378" s="351">
        <v>644.0559152229202</v>
      </c>
      <c r="E378" s="133">
        <f>D220</f>
        <v>662.1700000000001</v>
      </c>
      <c r="F378" s="436">
        <f aca="true" t="shared" si="44" ref="F378:F385">E378/D378</f>
        <v>1.0281250188825766</v>
      </c>
      <c r="I378" s="20">
        <v>3522259.345926985</v>
      </c>
      <c r="J378" s="133">
        <f>I378*100/1000000</f>
        <v>352.22593459269854</v>
      </c>
      <c r="K378" s="20">
        <v>1945533.2042014776</v>
      </c>
      <c r="L378" s="133">
        <f>K378*150/1000000</f>
        <v>291.82998063022166</v>
      </c>
      <c r="M378" s="34">
        <f>I378+K378</f>
        <v>5467792.550128463</v>
      </c>
      <c r="N378" s="133">
        <f>J378+L378</f>
        <v>644.0559152229202</v>
      </c>
    </row>
    <row r="379" spans="1:14" ht="13.5" customHeight="1">
      <c r="A379" s="411">
        <v>2</v>
      </c>
      <c r="B379" s="293" t="s">
        <v>134</v>
      </c>
      <c r="C379" s="20">
        <v>2823641.7155558243</v>
      </c>
      <c r="D379" s="351">
        <v>335.0768916220575</v>
      </c>
      <c r="E379" s="133">
        <f aca="true" t="shared" si="45" ref="E379:E385">D221</f>
        <v>348.06</v>
      </c>
      <c r="F379" s="436">
        <f t="shared" si="44"/>
        <v>1.0387466539846817</v>
      </c>
      <c r="I379" s="20">
        <v>1769387.3142263223</v>
      </c>
      <c r="J379" s="133">
        <f aca="true" t="shared" si="46" ref="J379:J385">I379*100/1000000</f>
        <v>176.93873142263226</v>
      </c>
      <c r="K379" s="20">
        <v>1054254.4013295018</v>
      </c>
      <c r="L379" s="133">
        <f aca="true" t="shared" si="47" ref="L379:L385">K379*150/1000000</f>
        <v>158.13816019942524</v>
      </c>
      <c r="M379" s="34">
        <f aca="true" t="shared" si="48" ref="M379:M385">I379+K379</f>
        <v>2823641.7155558243</v>
      </c>
      <c r="N379" s="133">
        <f aca="true" t="shared" si="49" ref="M379:N386">J379+L379</f>
        <v>335.0768916220575</v>
      </c>
    </row>
    <row r="380" spans="1:14" ht="13.5" customHeight="1">
      <c r="A380" s="411">
        <v>3</v>
      </c>
      <c r="B380" s="293" t="s">
        <v>135</v>
      </c>
      <c r="C380" s="20">
        <v>2337379.620980896</v>
      </c>
      <c r="D380" s="351">
        <v>270.4890555311801</v>
      </c>
      <c r="E380" s="133">
        <f t="shared" si="45"/>
        <v>271.01</v>
      </c>
      <c r="F380" s="436">
        <f t="shared" si="44"/>
        <v>1.001925935479337</v>
      </c>
      <c r="I380" s="20">
        <v>1602357.7523190856</v>
      </c>
      <c r="J380" s="133">
        <f t="shared" si="46"/>
        <v>160.23577523190855</v>
      </c>
      <c r="K380" s="20">
        <v>735021.8686618103</v>
      </c>
      <c r="L380" s="133">
        <f t="shared" si="47"/>
        <v>110.25328029927154</v>
      </c>
      <c r="M380" s="34">
        <f t="shared" si="48"/>
        <v>2337379.620980896</v>
      </c>
      <c r="N380" s="133">
        <f t="shared" si="49"/>
        <v>270.4890555311801</v>
      </c>
    </row>
    <row r="381" spans="1:14" ht="13.5" customHeight="1">
      <c r="A381" s="411">
        <v>4</v>
      </c>
      <c r="B381" s="293" t="s">
        <v>136</v>
      </c>
      <c r="C381" s="20">
        <v>4860039.896434241</v>
      </c>
      <c r="D381" s="351">
        <v>548.6891270713463</v>
      </c>
      <c r="E381" s="133">
        <f t="shared" si="45"/>
        <v>537.4</v>
      </c>
      <c r="F381" s="436">
        <f t="shared" si="44"/>
        <v>0.9794252765102116</v>
      </c>
      <c r="I381" s="20">
        <v>3606337.1478757965</v>
      </c>
      <c r="J381" s="133">
        <f t="shared" si="46"/>
        <v>360.63371478757966</v>
      </c>
      <c r="K381" s="20">
        <v>1253702.7485584442</v>
      </c>
      <c r="L381" s="133">
        <f t="shared" si="47"/>
        <v>188.05541228376663</v>
      </c>
      <c r="M381" s="34">
        <f t="shared" si="48"/>
        <v>4860039.896434241</v>
      </c>
      <c r="N381" s="133">
        <f t="shared" si="49"/>
        <v>548.6891270713463</v>
      </c>
    </row>
    <row r="382" spans="1:14" ht="13.5" customHeight="1">
      <c r="A382" s="411">
        <v>5</v>
      </c>
      <c r="B382" s="293" t="s">
        <v>137</v>
      </c>
      <c r="C382" s="20">
        <v>5431473.752675388</v>
      </c>
      <c r="D382" s="351">
        <v>628.0233008953318</v>
      </c>
      <c r="E382" s="133">
        <f t="shared" si="45"/>
        <v>620.29</v>
      </c>
      <c r="F382" s="436">
        <f t="shared" si="44"/>
        <v>0.987686283479758</v>
      </c>
      <c r="I382" s="20">
        <v>3733955.240119528</v>
      </c>
      <c r="J382" s="133">
        <f t="shared" si="46"/>
        <v>373.39552401195283</v>
      </c>
      <c r="K382" s="20">
        <v>1697518.51255586</v>
      </c>
      <c r="L382" s="133">
        <f t="shared" si="47"/>
        <v>254.62777688337897</v>
      </c>
      <c r="M382" s="34">
        <f t="shared" si="48"/>
        <v>5431473.752675388</v>
      </c>
      <c r="N382" s="133">
        <f t="shared" si="49"/>
        <v>628.0233008953318</v>
      </c>
    </row>
    <row r="383" spans="1:14" ht="13.5" customHeight="1">
      <c r="A383" s="411">
        <v>6</v>
      </c>
      <c r="B383" s="293" t="s">
        <v>138</v>
      </c>
      <c r="C383" s="20">
        <v>3024584.041799882</v>
      </c>
      <c r="D383" s="351">
        <v>344.12372060543765</v>
      </c>
      <c r="E383" s="133">
        <f t="shared" si="45"/>
        <v>374.53</v>
      </c>
      <c r="F383" s="436">
        <f t="shared" si="44"/>
        <v>1.0883585686597446</v>
      </c>
      <c r="I383" s="20">
        <v>2191277.713290893</v>
      </c>
      <c r="J383" s="133">
        <f t="shared" si="46"/>
        <v>219.1277713290893</v>
      </c>
      <c r="K383" s="20">
        <v>833306.328508989</v>
      </c>
      <c r="L383" s="133">
        <f t="shared" si="47"/>
        <v>124.99594927634834</v>
      </c>
      <c r="M383" s="34">
        <f t="shared" si="48"/>
        <v>3024584.041799882</v>
      </c>
      <c r="N383" s="133">
        <f t="shared" si="49"/>
        <v>344.12372060543765</v>
      </c>
    </row>
    <row r="384" spans="1:14" ht="13.5" customHeight="1">
      <c r="A384" s="411">
        <v>7</v>
      </c>
      <c r="B384" s="293" t="s">
        <v>139</v>
      </c>
      <c r="C384" s="20">
        <v>2093675.6000015968</v>
      </c>
      <c r="D384" s="351">
        <v>236.6453368444645</v>
      </c>
      <c r="E384" s="133">
        <f t="shared" si="45"/>
        <v>254.07</v>
      </c>
      <c r="F384" s="436">
        <f t="shared" si="44"/>
        <v>1.0736319734328332</v>
      </c>
      <c r="I384" s="20">
        <v>1548120.0631155</v>
      </c>
      <c r="J384" s="133">
        <f t="shared" si="46"/>
        <v>154.81200631155</v>
      </c>
      <c r="K384" s="20">
        <v>545555.5368860968</v>
      </c>
      <c r="L384" s="133">
        <f t="shared" si="47"/>
        <v>81.83333053291452</v>
      </c>
      <c r="M384" s="34">
        <f t="shared" si="48"/>
        <v>2093675.6000015968</v>
      </c>
      <c r="N384" s="133">
        <f t="shared" si="49"/>
        <v>236.6453368444645</v>
      </c>
    </row>
    <row r="385" spans="1:14" ht="13.5" customHeight="1">
      <c r="A385" s="411">
        <v>8</v>
      </c>
      <c r="B385" s="293" t="s">
        <v>140</v>
      </c>
      <c r="C385" s="20">
        <v>1357202.262423717</v>
      </c>
      <c r="D385" s="351">
        <v>163.32433820726285</v>
      </c>
      <c r="E385" s="133">
        <f t="shared" si="45"/>
        <v>166.27999999999997</v>
      </c>
      <c r="F385" s="436">
        <f t="shared" si="44"/>
        <v>1.0180968851622487</v>
      </c>
      <c r="I385" s="20">
        <v>805120.0231258932</v>
      </c>
      <c r="J385" s="133">
        <f t="shared" si="46"/>
        <v>80.51200231258932</v>
      </c>
      <c r="K385" s="20">
        <v>552082.2392978236</v>
      </c>
      <c r="L385" s="133">
        <f t="shared" si="47"/>
        <v>82.81233589467354</v>
      </c>
      <c r="M385" s="34">
        <f t="shared" si="48"/>
        <v>1357202.262423717</v>
      </c>
      <c r="N385" s="133">
        <f t="shared" si="49"/>
        <v>163.32433820726285</v>
      </c>
    </row>
    <row r="386" spans="1:14" ht="13.5" customHeight="1">
      <c r="A386" s="548"/>
      <c r="B386" s="440" t="s">
        <v>56</v>
      </c>
      <c r="C386" s="450">
        <f>SUM(C378:C385)</f>
        <v>27395789.440000005</v>
      </c>
      <c r="D386" s="441">
        <f>SUM(D378:D385)</f>
        <v>3170.427686000001</v>
      </c>
      <c r="E386" s="441">
        <f>SUM(E378:E385)</f>
        <v>3233.8100000000004</v>
      </c>
      <c r="F386" s="451">
        <f>E386/D386</f>
        <v>1.0199917236024287</v>
      </c>
      <c r="I386" s="250">
        <f>SUM(I378:I385)</f>
        <v>18778814.6</v>
      </c>
      <c r="J386" s="448">
        <f>SUM(J378:J385)</f>
        <v>1877.8814600000005</v>
      </c>
      <c r="K386" s="251">
        <f>SUM(K378:K385)</f>
        <v>8616974.840000004</v>
      </c>
      <c r="L386" s="448">
        <f>SUM(L378:L385)</f>
        <v>1292.5462260000004</v>
      </c>
      <c r="M386" s="250">
        <f t="shared" si="49"/>
        <v>27395789.440000005</v>
      </c>
      <c r="N386" s="448">
        <f t="shared" si="49"/>
        <v>3170.427686000001</v>
      </c>
    </row>
    <row r="387" spans="1:8" ht="18.75" customHeight="1">
      <c r="A387" s="45" t="s">
        <v>286</v>
      </c>
      <c r="B387" s="46"/>
      <c r="C387" s="46"/>
      <c r="D387" s="46"/>
      <c r="E387" s="46"/>
      <c r="F387" s="46"/>
      <c r="G387" s="48"/>
      <c r="H387" s="48"/>
    </row>
    <row r="388" spans="2:8" ht="14.25" customHeight="1">
      <c r="B388" s="48"/>
      <c r="C388" s="48"/>
      <c r="D388" s="48"/>
      <c r="E388" s="341" t="s">
        <v>81</v>
      </c>
      <c r="F388" s="48"/>
      <c r="G388" s="48"/>
      <c r="H388" s="48"/>
    </row>
    <row r="389" spans="1:14" ht="52.5" customHeight="1">
      <c r="A389" s="452" t="s">
        <v>1</v>
      </c>
      <c r="B389" s="452" t="s">
        <v>2</v>
      </c>
      <c r="C389" s="453" t="str">
        <f>C376</f>
        <v>No. of Meals served during 01.4.17 to 31.03.18     </v>
      </c>
      <c r="D389" s="453" t="s">
        <v>82</v>
      </c>
      <c r="E389" s="453" t="s">
        <v>83</v>
      </c>
      <c r="F389" s="452" t="s">
        <v>80</v>
      </c>
      <c r="I389" s="559" t="s">
        <v>215</v>
      </c>
      <c r="J389" s="559" t="s">
        <v>216</v>
      </c>
      <c r="K389" s="559" t="s">
        <v>217</v>
      </c>
      <c r="L389" s="559" t="s">
        <v>218</v>
      </c>
      <c r="M389" s="559" t="s">
        <v>219</v>
      </c>
      <c r="N389" s="558"/>
    </row>
    <row r="390" spans="1:14" s="18" customFormat="1" ht="12.75" customHeight="1">
      <c r="A390" s="321">
        <v>1</v>
      </c>
      <c r="B390" s="321">
        <v>2</v>
      </c>
      <c r="C390" s="322">
        <v>3</v>
      </c>
      <c r="D390" s="321">
        <v>4</v>
      </c>
      <c r="E390" s="322">
        <v>5</v>
      </c>
      <c r="F390" s="321">
        <v>6</v>
      </c>
      <c r="I390" s="559"/>
      <c r="J390" s="559"/>
      <c r="K390" s=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     <c r="C391" s="20">
        <f>C378</f>
        <v>5467792.550128463</v>
      </c>
      <c r="D391" s="156">
        <v>299.1492308615643</v>
      </c>
      <c r="E391" s="133">
        <f>D347</f>
        <v>299.1492308615643</v>
      </c>
      <c r="F391" s="436">
        <f aca="true" t="shared" si="50" ref="F391:F399">E391/D391</f>
        <v>1</v>
      </c>
      <c r="I391" s="188">
        <v>3522259.345926985</v>
      </c>
      <c r="J391" s="41">
        <f>I391*215*3.72/100000</f>
        <v>28171.030248724026</v>
      </c>
      <c r="K391" s="188">
        <v>1945533.2042014776</v>
      </c>
      <c r="L391" s="41">
        <f>K391*220*5.56/100000</f>
        <v>23797.76215379247</v>
      </c>
      <c r="M391" s="41">
        <f>J391+L391</f>
        <v>51968.7924025165</v>
      </c>
    </row>
    <row r="392" spans="1:13" ht="13.5" customHeight="1">
      <c r="A392" s="411">
        <v>2</v>
      </c>
      <c r="B392" s="266" t="s">
        <v>134</v>
      </c>
      <c r="C392" s="20">
        <f aca="true" t="shared" si="51" ref="C392:C398">C379</f>
        <v>2823641.7155558243</v>
      </c>
      <c r="D392" s="156">
        <v>156.9327746507878</v>
      </c>
      <c r="E392" s="133">
        <f aca="true" t="shared" si="52" ref="E392:E398">D348</f>
        <v>156.9327746507878</v>
      </c>
      <c r="F392" s="436">
        <f t="shared" si="50"/>
        <v>1</v>
      </c>
      <c r="I392" s="188">
        <v>1769387.3142263223</v>
      </c>
      <c r="J392" s="41">
        <f aca="true" t="shared" si="53" ref="J392:J398">I392*215*3.72/100000</f>
        <v>14151.559739182127</v>
      </c>
      <c r="K392" s="188">
        <v>1054254.4013295018</v>
      </c>
      <c r="L392" s="41">
        <f aca="true" t="shared" si="54" ref="L392:L398">K392*220*5.56/100000</f>
        <v>12895.639837062463</v>
      </c>
      <c r="M392" s="41">
        <f aca="true" t="shared" si="55" ref="M392:M398">J392+L392</f>
        <v>27047.199576244588</v>
      </c>
    </row>
    <row r="393" spans="1:13" ht="13.5" customHeight="1">
      <c r="A393" s="411">
        <v>3</v>
      </c>
      <c r="B393" s="266" t="s">
        <v>135</v>
      </c>
      <c r="C393" s="20">
        <f t="shared" si="51"/>
        <v>2337379.620980896</v>
      </c>
      <c r="D393" s="156">
        <v>123.07155022696801</v>
      </c>
      <c r="E393" s="133">
        <f t="shared" si="52"/>
        <v>123.07155022696801</v>
      </c>
      <c r="F393" s="436">
        <f t="shared" si="50"/>
        <v>1</v>
      </c>
      <c r="I393" s="188">
        <v>1602357.7523190856</v>
      </c>
      <c r="J393" s="41">
        <f t="shared" si="53"/>
        <v>12815.657303048049</v>
      </c>
      <c r="K393" s="188">
        <v>735021.8686618103</v>
      </c>
      <c r="L393" s="41">
        <f t="shared" si="54"/>
        <v>8990.787497471263</v>
      </c>
      <c r="M393" s="41">
        <f t="shared" si="55"/>
        <v>21806.44480051931</v>
      </c>
    </row>
    <row r="394" spans="1:13" ht="13.5" customHeight="1">
      <c r="A394" s="411">
        <v>4</v>
      </c>
      <c r="B394" s="266" t="s">
        <v>136</v>
      </c>
      <c r="C394" s="20">
        <f t="shared" si="51"/>
        <v>4860039.896434241</v>
      </c>
      <c r="D394" s="156">
        <v>246.48951602934739</v>
      </c>
      <c r="E394" s="133">
        <f t="shared" si="52"/>
        <v>246.48951602934739</v>
      </c>
      <c r="F394" s="436">
        <f t="shared" si="50"/>
        <v>1</v>
      </c>
      <c r="I394" s="188">
        <v>3606337.1478757965</v>
      </c>
      <c r="J394" s="41">
        <f t="shared" si="53"/>
        <v>28843.484508710622</v>
      </c>
      <c r="K394" s="188">
        <v>1253702.7485584442</v>
      </c>
      <c r="L394" s="41">
        <f t="shared" si="54"/>
        <v>15335.292020366891</v>
      </c>
      <c r="M394" s="41">
        <f t="shared" si="55"/>
        <v>44178.77652907751</v>
      </c>
    </row>
    <row r="395" spans="1:13" ht="13.5" customHeight="1">
      <c r="A395" s="411">
        <v>5</v>
      </c>
      <c r="B395" s="266" t="s">
        <v>137</v>
      </c>
      <c r="C395" s="20">
        <f t="shared" si="51"/>
        <v>5431473.752675388</v>
      </c>
      <c r="D395" s="156">
        <v>282.0562609260753</v>
      </c>
      <c r="E395" s="133">
        <f t="shared" si="52"/>
        <v>282.0562609260753</v>
      </c>
      <c r="F395" s="436">
        <f t="shared" si="50"/>
        <v>1</v>
      </c>
      <c r="I395" s="188">
        <v>3733955.240119528</v>
      </c>
      <c r="J395" s="41">
        <f t="shared" si="53"/>
        <v>29864.17401047599</v>
      </c>
      <c r="K395" s="188">
        <v>1697518.51255586</v>
      </c>
      <c r="L395" s="41">
        <f t="shared" si="54"/>
        <v>20764.046445583277</v>
      </c>
      <c r="M395" s="41">
        <f t="shared" si="55"/>
        <v>50628.220456059265</v>
      </c>
    </row>
    <row r="396" spans="1:13" ht="13.5" customHeight="1">
      <c r="A396" s="411">
        <v>6</v>
      </c>
      <c r="B396" s="266" t="s">
        <v>138</v>
      </c>
      <c r="C396" s="20">
        <f t="shared" si="51"/>
        <v>3024584.041799882</v>
      </c>
      <c r="D396" s="156">
        <v>170.76378272529982</v>
      </c>
      <c r="E396" s="133">
        <f t="shared" si="52"/>
        <v>170.76378272529982</v>
      </c>
      <c r="F396" s="436">
        <f t="shared" si="50"/>
        <v>1</v>
      </c>
      <c r="I396" s="188">
        <v>2191277.713290893</v>
      </c>
      <c r="J396" s="41">
        <f t="shared" si="53"/>
        <v>17525.839150900563</v>
      </c>
      <c r="K396" s="188">
        <v>833306.328508989</v>
      </c>
      <c r="L396" s="41">
        <f t="shared" si="54"/>
        <v>10193.003010321952</v>
      </c>
      <c r="M396" s="41">
        <f t="shared" si="55"/>
        <v>27718.842161222514</v>
      </c>
    </row>
    <row r="397" spans="1:13" ht="13.5" customHeight="1">
      <c r="A397" s="411">
        <v>7</v>
      </c>
      <c r="B397" s="266" t="s">
        <v>139</v>
      </c>
      <c r="C397" s="20">
        <f t="shared" si="51"/>
        <v>2093675.6000015968</v>
      </c>
      <c r="D397" s="156">
        <v>116.19569143090965</v>
      </c>
      <c r="E397" s="133">
        <f t="shared" si="52"/>
        <v>116.19569143090965</v>
      </c>
      <c r="F397" s="436">
        <f t="shared" si="50"/>
        <v>1</v>
      </c>
      <c r="I397" s="188">
        <v>1548120.0631155</v>
      </c>
      <c r="J397" s="41">
        <f t="shared" si="53"/>
        <v>12381.86426479777</v>
      </c>
      <c r="K397" s="188">
        <v>545555.5368860968</v>
      </c>
      <c r="L397" s="41">
        <f t="shared" si="54"/>
        <v>6673.235327190735</v>
      </c>
      <c r="M397" s="41">
        <f t="shared" si="55"/>
        <v>19055.099591988506</v>
      </c>
    </row>
    <row r="398" spans="1:13" ht="13.5" customHeight="1">
      <c r="A398" s="411">
        <v>8</v>
      </c>
      <c r="B398" s="266" t="s">
        <v>140</v>
      </c>
      <c r="C398" s="20">
        <f t="shared" si="51"/>
        <v>1357202.262423717</v>
      </c>
      <c r="D398" s="156">
        <v>74.65386313024823</v>
      </c>
      <c r="E398" s="133">
        <f t="shared" si="52"/>
        <v>74.65386313024823</v>
      </c>
      <c r="F398" s="436">
        <f t="shared" si="50"/>
        <v>1</v>
      </c>
      <c r="I398" s="188">
        <v>805120.0231258932</v>
      </c>
      <c r="J398" s="41">
        <f t="shared" si="53"/>
        <v>6439.3499449608935</v>
      </c>
      <c r="K398" s="188">
        <v>552082.2392978236</v>
      </c>
      <c r="L398" s="41">
        <f t="shared" si="54"/>
        <v>6753.069951090978</v>
      </c>
      <c r="M398" s="41">
        <f t="shared" si="55"/>
        <v>13192.419896051872</v>
      </c>
    </row>
    <row r="399" spans="1:14" s="13" customFormat="1" ht="13.5" customHeight="1">
      <c r="A399" s="439"/>
      <c r="B399" s="440" t="s">
        <v>56</v>
      </c>
      <c r="C399" s="450">
        <f>SUM(C391:C398)</f>
        <v>27395789.440000005</v>
      </c>
      <c r="D399" s="441">
        <v>1469.3126699812005</v>
      </c>
      <c r="E399" s="441">
        <f>SUM(E391:E398)</f>
        <v>1469.3126699812005</v>
      </c>
      <c r="F399" s="451">
        <f t="shared" si="50"/>
        <v>1</v>
      </c>
      <c r="I399" s="55">
        <v>18778814.6</v>
      </c>
      <c r="J399" s="191">
        <f>SUM(J391:J398)</f>
        <v>150192.95917080005</v>
      </c>
      <c r="K399" s="55">
        <v>8616974.840000004</v>
      </c>
      <c r="L399" s="191">
        <f>SUM(L391:L398)</f>
        <v>105402.83624288002</v>
      </c>
      <c r="M399" s="191">
        <f>SUM(M391:M398)</f>
        <v>255595.79541368008</v>
      </c>
      <c r="N399" s="4"/>
    </row>
    <row r="400" spans="1:13" ht="12.75" customHeight="1">
      <c r="A400" s="73"/>
      <c r="B400" s="74"/>
      <c r="C400" s="367"/>
      <c r="D400" s="367"/>
      <c r="E400" s="368"/>
      <c r="F400" s="77"/>
      <c r="G400" s="454"/>
      <c r="H400" s="194"/>
      <c r="M400" s="41"/>
    </row>
    <row r="401" spans="1:8" ht="12.75" customHeight="1">
      <c r="A401" s="73"/>
      <c r="B401" s="74"/>
      <c r="C401" s="367"/>
      <c r="D401" s="367"/>
      <c r="E401" s="368"/>
      <c r="F401" s="77"/>
      <c r="G401" s="78"/>
      <c r="H401" s="222"/>
    </row>
    <row r="402" spans="1:8" s="48" customFormat="1" ht="13.5" customHeight="1">
      <c r="A402" s="470" t="s">
        <v>168</v>
      </c>
      <c r="B402" s="458"/>
      <c r="C402" s="458"/>
      <c r="D402" s="157"/>
      <c r="E402" s="157"/>
      <c r="F402" s="157"/>
      <c r="G402" s="157"/>
      <c r="H402" s="200"/>
    </row>
    <row r="403" spans="1:8" s="48" customFormat="1" ht="5.25" customHeight="1">
      <c r="A403" s="458"/>
      <c r="B403" s="458"/>
      <c r="C403" s="458"/>
      <c r="D403" s="157"/>
      <c r="E403" s="157"/>
      <c r="F403" s="157"/>
      <c r="G403" s="157"/>
      <c r="H403" s="200"/>
    </row>
    <row r="404" spans="1:8" s="48" customFormat="1" ht="13.5" customHeight="1" thickBot="1">
      <c r="A404" s="458" t="s">
        <v>121</v>
      </c>
      <c r="B404" s="458"/>
      <c r="C404" s="458"/>
      <c r="D404" s="157"/>
      <c r="E404" s="157"/>
      <c r="F404" s="157"/>
      <c r="G404" s="157"/>
      <c r="H404" s="200"/>
    </row>
    <row r="405" spans="1:17" s="48" customFormat="1" ht="46.5" customHeight="1">
      <c r="A405" s="459" t="s">
        <v>26</v>
      </c>
      <c r="B405" s="459" t="s">
        <v>27</v>
      </c>
      <c r="C405" s="459" t="str">
        <f>C345</f>
        <v>Allocation for 2017-18                                     </v>
      </c>
      <c r="D405" s="459" t="s">
        <v>324</v>
      </c>
      <c r="E405" s="459" t="s">
        <v>122</v>
      </c>
      <c r="F405" s="459" t="s">
        <v>123</v>
      </c>
      <c r="G405" s="460" t="s">
        <v>124</v>
      </c>
      <c r="H405" s="200"/>
      <c r="I405" s="158" t="s">
        <v>203</v>
      </c>
      <c r="J405" s="159" t="s">
        <v>223</v>
      </c>
      <c r="K405" s="160" t="s">
        <v>3</v>
      </c>
      <c r="L405" s="158" t="s">
        <v>203</v>
      </c>
      <c r="M405" s="159" t="s">
        <v>223</v>
      </c>
      <c r="N405" s="160" t="s">
        <v>3</v>
      </c>
      <c r="O405" s="158" t="s">
        <v>203</v>
      </c>
      <c r="P405" s="159" t="s">
        <v>223</v>
      </c>
      <c r="Q405" s="160" t="s">
        <v>3</v>
      </c>
    </row>
    <row r="406" spans="1:17" s="48" customFormat="1" ht="15" customHeight="1">
      <c r="A406" s="459">
        <v>1</v>
      </c>
      <c r="B406" s="459">
        <v>2</v>
      </c>
      <c r="C406" s="459">
        <v>3</v>
      </c>
      <c r="D406" s="459">
        <v>4</v>
      </c>
      <c r="E406" s="459">
        <v>5</v>
      </c>
      <c r="F406" s="459">
        <v>6</v>
      </c>
      <c r="G406" s="461">
        <v>7</v>
      </c>
      <c r="H406" s="200"/>
      <c r="I406" s="554" t="s">
        <v>239</v>
      </c>
      <c r="J406" s="555"/>
      <c r="K406" s="556"/>
      <c r="L406" s="554" t="s">
        <v>240</v>
      </c>
      <c r="M406" s="555"/>
      <c r="N406" s="556"/>
      <c r="O406" s="554" t="s">
        <v>241</v>
      </c>
      <c r="P406" s="555"/>
      <c r="Q406" s="556"/>
    </row>
    <row r="407" spans="1:17" s="48" customFormat="1" ht="13.5" customHeight="1">
      <c r="A407" s="471">
        <v>1</v>
      </c>
      <c r="B407" s="293" t="s">
        <v>133</v>
      </c>
      <c r="C407" s="156">
        <v>160.2</v>
      </c>
      <c r="D407" s="156">
        <v>4.5</v>
      </c>
      <c r="E407" s="156">
        <v>157.2671214591556</v>
      </c>
      <c r="F407" s="462">
        <f>D407+E407</f>
        <v>161.7671214591556</v>
      </c>
      <c r="G407" s="463">
        <f>F407/C407</f>
        <v>1.0097822812681374</v>
      </c>
      <c r="H407" s="200"/>
      <c r="I407" s="161">
        <v>88.2</v>
      </c>
      <c r="J407" s="455">
        <v>72</v>
      </c>
      <c r="K407" s="162">
        <f>SUM(I407:J407)</f>
        <v>160.2</v>
      </c>
      <c r="L407" s="189">
        <v>3.4699999999999998</v>
      </c>
      <c r="M407" s="156">
        <v>1.03</v>
      </c>
      <c r="N407" s="162">
        <f>SUM(L407:M407)</f>
        <v>4.5</v>
      </c>
      <c r="O407" s="161">
        <v>87.5103822280301</v>
      </c>
      <c r="P407" s="156">
        <v>69.75673923112551</v>
      </c>
      <c r="Q407" s="162">
        <f>SUM(O407:P407)</f>
        <v>157.2671214591556</v>
      </c>
    </row>
    <row r="408" spans="1:17" s="48" customFormat="1" ht="13.5" customHeight="1">
      <c r="A408" s="471">
        <v>2</v>
      </c>
      <c r="B408" s="293" t="s">
        <v>134</v>
      </c>
      <c r="C408" s="156">
        <v>82.5</v>
      </c>
      <c r="D408" s="156">
        <v>2.3</v>
      </c>
      <c r="E408" s="156">
        <v>80.96928729240052</v>
      </c>
      <c r="F408" s="462">
        <f aca="true" t="shared" si="56" ref="F408:F414">D408+E408</f>
        <v>83.26928729240052</v>
      </c>
      <c r="G408" s="463">
        <f aca="true" t="shared" si="57" ref="G408:G414">F408/C408</f>
        <v>1.0093246944533396</v>
      </c>
      <c r="H408" s="200"/>
      <c r="I408" s="161">
        <v>44.55</v>
      </c>
      <c r="J408" s="455">
        <v>37.95</v>
      </c>
      <c r="K408" s="162">
        <f aca="true" t="shared" si="58" ref="K408:K414">SUM(I408:J408)</f>
        <v>82.5</v>
      </c>
      <c r="L408" s="189">
        <v>1.76</v>
      </c>
      <c r="M408" s="156">
        <v>0.54</v>
      </c>
      <c r="N408" s="162">
        <f aca="true" t="shared" si="59" ref="N408:N414">SUM(L408:M408)</f>
        <v>2.3</v>
      </c>
      <c r="O408" s="161">
        <v>44.20167265599477</v>
      </c>
      <c r="P408" s="156">
        <v>36.76761463640575</v>
      </c>
      <c r="Q408" s="162">
        <f aca="true" t="shared" si="60" ref="Q408:Q414">SUM(O408:P408)</f>
        <v>80.96928729240052</v>
      </c>
    </row>
    <row r="409" spans="1:17" s="48" customFormat="1" ht="13.5" customHeight="1">
      <c r="A409" s="471">
        <v>3</v>
      </c>
      <c r="B409" s="293" t="s">
        <v>135</v>
      </c>
      <c r="C409" s="156">
        <v>58.65</v>
      </c>
      <c r="D409" s="156">
        <v>1.7000000000000002</v>
      </c>
      <c r="E409" s="156">
        <v>57.610321299245136</v>
      </c>
      <c r="F409" s="462">
        <f t="shared" si="56"/>
        <v>59.31032129924514</v>
      </c>
      <c r="G409" s="463">
        <f t="shared" si="57"/>
        <v>1.0112586751789452</v>
      </c>
      <c r="H409" s="200"/>
      <c r="I409" s="161">
        <v>33.75</v>
      </c>
      <c r="J409" s="455">
        <v>24.9</v>
      </c>
      <c r="K409" s="162">
        <f t="shared" si="58"/>
        <v>58.65</v>
      </c>
      <c r="L409" s="189">
        <v>1.34</v>
      </c>
      <c r="M409" s="156">
        <v>0.36</v>
      </c>
      <c r="N409" s="162">
        <f t="shared" si="59"/>
        <v>1.7000000000000002</v>
      </c>
      <c r="O409" s="161">
        <v>33.48611564848089</v>
      </c>
      <c r="P409" s="156">
        <v>24.124205650764246</v>
      </c>
      <c r="Q409" s="162">
        <f t="shared" si="60"/>
        <v>57.610321299245136</v>
      </c>
    </row>
    <row r="410" spans="1:17" s="48" customFormat="1" ht="13.5" customHeight="1">
      <c r="A410" s="471">
        <v>4</v>
      </c>
      <c r="B410" s="293" t="s">
        <v>136</v>
      </c>
      <c r="C410" s="156">
        <v>123</v>
      </c>
      <c r="D410" s="156">
        <v>3.75</v>
      </c>
      <c r="E410" s="156">
        <v>121.01260044677478</v>
      </c>
      <c r="F410" s="462">
        <f t="shared" si="56"/>
        <v>124.76260044677478</v>
      </c>
      <c r="G410" s="463">
        <f t="shared" si="57"/>
        <v>1.0143300849331283</v>
      </c>
      <c r="H410" s="200"/>
      <c r="I410" s="161">
        <v>79.05</v>
      </c>
      <c r="J410" s="456">
        <v>43.95</v>
      </c>
      <c r="K410" s="162">
        <f t="shared" si="58"/>
        <v>123</v>
      </c>
      <c r="L410" s="189">
        <v>3.12</v>
      </c>
      <c r="M410" s="156">
        <v>0.63</v>
      </c>
      <c r="N410" s="162">
        <f t="shared" si="59"/>
        <v>3.75</v>
      </c>
      <c r="O410" s="161">
        <v>78.43192420777524</v>
      </c>
      <c r="P410" s="156">
        <v>42.580676238999544</v>
      </c>
      <c r="Q410" s="162">
        <f t="shared" si="60"/>
        <v>121.01260044677478</v>
      </c>
    </row>
    <row r="411" spans="1:17" s="48" customFormat="1" ht="13.5" customHeight="1">
      <c r="A411" s="471">
        <v>5</v>
      </c>
      <c r="B411" s="293" t="s">
        <v>137</v>
      </c>
      <c r="C411" s="156">
        <v>160.35</v>
      </c>
      <c r="D411" s="156">
        <v>4.74</v>
      </c>
      <c r="E411" s="156">
        <v>157.6049832319493</v>
      </c>
      <c r="F411" s="462">
        <f t="shared" si="56"/>
        <v>162.3449832319493</v>
      </c>
      <c r="G411" s="463">
        <f t="shared" si="57"/>
        <v>1.0124414295724933</v>
      </c>
      <c r="H411" s="200"/>
      <c r="I411" s="161">
        <v>96.44999999999999</v>
      </c>
      <c r="J411" s="456">
        <v>63.900000000000006</v>
      </c>
      <c r="K411" s="162">
        <f t="shared" si="58"/>
        <v>160.35</v>
      </c>
      <c r="L411" s="189">
        <v>3.82</v>
      </c>
      <c r="M411" s="156">
        <v>0.92</v>
      </c>
      <c r="N411" s="162">
        <f t="shared" si="59"/>
        <v>4.74</v>
      </c>
      <c r="O411" s="161">
        <v>95.69587716432538</v>
      </c>
      <c r="P411" s="156">
        <v>61.90910606762391</v>
      </c>
      <c r="Q411" s="162">
        <f t="shared" si="60"/>
        <v>157.6049832319493</v>
      </c>
    </row>
    <row r="412" spans="1:17" s="48" customFormat="1" ht="13.5" customHeight="1">
      <c r="A412" s="471">
        <v>6</v>
      </c>
      <c r="B412" s="293" t="s">
        <v>138</v>
      </c>
      <c r="C412" s="156">
        <v>87.75</v>
      </c>
      <c r="D412" s="156">
        <v>2.5700000000000003</v>
      </c>
      <c r="E412" s="156">
        <v>86.22724758382853</v>
      </c>
      <c r="F412" s="462">
        <f t="shared" si="56"/>
        <v>88.79724758382852</v>
      </c>
      <c r="G412" s="463">
        <f t="shared" si="57"/>
        <v>1.0119344453997552</v>
      </c>
      <c r="H412" s="200"/>
      <c r="I412" s="161">
        <v>51.900000000000006</v>
      </c>
      <c r="J412" s="456">
        <v>35.85</v>
      </c>
      <c r="K412" s="162">
        <f t="shared" si="58"/>
        <v>87.75</v>
      </c>
      <c r="L412" s="189">
        <v>2.06</v>
      </c>
      <c r="M412" s="156">
        <v>0.51</v>
      </c>
      <c r="N412" s="162">
        <f t="shared" si="59"/>
        <v>2.5700000000000003</v>
      </c>
      <c r="O412" s="161">
        <v>51.49420450833061</v>
      </c>
      <c r="P412" s="156">
        <v>34.73304307549792</v>
      </c>
      <c r="Q412" s="162">
        <f t="shared" si="60"/>
        <v>86.22724758382853</v>
      </c>
    </row>
    <row r="413" spans="1:17" s="48" customFormat="1" ht="13.5" customHeight="1">
      <c r="A413" s="471">
        <v>7</v>
      </c>
      <c r="B413" s="293" t="s">
        <v>139</v>
      </c>
      <c r="C413" s="156">
        <v>69.6</v>
      </c>
      <c r="D413" s="156">
        <v>2.13</v>
      </c>
      <c r="E413" s="156">
        <v>68.47470548741893</v>
      </c>
      <c r="F413" s="462">
        <f t="shared" si="56"/>
        <v>70.60470548741893</v>
      </c>
      <c r="G413" s="463">
        <f t="shared" si="57"/>
        <v>1.0144354236698123</v>
      </c>
      <c r="H413" s="200"/>
      <c r="I413" s="161">
        <v>44.7</v>
      </c>
      <c r="J413" s="456">
        <v>24.9</v>
      </c>
      <c r="K413" s="162">
        <f t="shared" si="58"/>
        <v>69.6</v>
      </c>
      <c r="L413" s="189">
        <v>1.77</v>
      </c>
      <c r="M413" s="156">
        <v>0.36</v>
      </c>
      <c r="N413" s="162">
        <f t="shared" si="59"/>
        <v>2.13</v>
      </c>
      <c r="O413" s="161">
        <v>44.35049983665469</v>
      </c>
      <c r="P413" s="156">
        <v>24.124205650764246</v>
      </c>
      <c r="Q413" s="162">
        <f t="shared" si="60"/>
        <v>68.47470548741893</v>
      </c>
    </row>
    <row r="414" spans="1:17" s="48" customFormat="1" ht="13.5" customHeight="1" thickBot="1">
      <c r="A414" s="471">
        <v>8</v>
      </c>
      <c r="B414" s="293" t="s">
        <v>140</v>
      </c>
      <c r="C414" s="156">
        <v>40.95</v>
      </c>
      <c r="D414" s="156">
        <v>1.11</v>
      </c>
      <c r="E414" s="156">
        <v>40.15373319922726</v>
      </c>
      <c r="F414" s="462">
        <f t="shared" si="56"/>
        <v>41.26373319922726</v>
      </c>
      <c r="G414" s="463">
        <f t="shared" si="57"/>
        <v>1.007661372386502</v>
      </c>
      <c r="H414" s="200"/>
      <c r="I414" s="163">
        <v>20.55</v>
      </c>
      <c r="J414" s="457">
        <v>20.4</v>
      </c>
      <c r="K414" s="165">
        <f t="shared" si="58"/>
        <v>40.95</v>
      </c>
      <c r="L414" s="189">
        <v>0.8200000000000001</v>
      </c>
      <c r="M414" s="164">
        <v>0.29</v>
      </c>
      <c r="N414" s="165">
        <f t="shared" si="59"/>
        <v>1.11</v>
      </c>
      <c r="O414" s="163">
        <v>20.389323750408362</v>
      </c>
      <c r="P414" s="164">
        <v>19.764409448818903</v>
      </c>
      <c r="Q414" s="165">
        <f t="shared" si="60"/>
        <v>40.15373319922726</v>
      </c>
    </row>
    <row r="415" spans="1:17" s="48" customFormat="1" ht="13.5" customHeight="1" thickBot="1">
      <c r="A415" s="472"/>
      <c r="B415" s="464" t="s">
        <v>3</v>
      </c>
      <c r="C415" s="465">
        <v>783</v>
      </c>
      <c r="D415" s="465">
        <v>22.8</v>
      </c>
      <c r="E415" s="465">
        <v>769.32</v>
      </c>
      <c r="F415" s="466">
        <f>SUM(F407:F414)</f>
        <v>792.1200000000001</v>
      </c>
      <c r="G415" s="467">
        <f>F415/C415</f>
        <v>1.0116475095785442</v>
      </c>
      <c r="H415" s="200"/>
      <c r="I415" s="166">
        <v>459.15</v>
      </c>
      <c r="J415" s="456">
        <v>323.84999999999997</v>
      </c>
      <c r="K415" s="168">
        <f aca="true" t="shared" si="61" ref="K415:Q415">SUM(K407:K414)</f>
        <v>783</v>
      </c>
      <c r="L415" s="166">
        <v>18.16</v>
      </c>
      <c r="M415" s="167">
        <v>4.640000000000001</v>
      </c>
      <c r="N415" s="168">
        <f t="shared" si="61"/>
        <v>22.8</v>
      </c>
      <c r="O415" s="166">
        <v>455.56000000000006</v>
      </c>
      <c r="P415" s="167">
        <v>313.76</v>
      </c>
      <c r="Q415" s="168">
        <f t="shared" si="61"/>
        <v>769.32</v>
      </c>
    </row>
    <row r="416" spans="1:8" s="48" customFormat="1" ht="13.5" customHeight="1">
      <c r="A416" s="73"/>
      <c r="B416" s="74"/>
      <c r="C416" s="468"/>
      <c r="D416" s="468"/>
      <c r="E416" s="469"/>
      <c r="F416" s="77"/>
      <c r="G416" s="78"/>
      <c r="H416" s="200"/>
    </row>
    <row r="417" spans="1:8" s="48" customFormat="1" ht="13.5" customHeight="1">
      <c r="A417" s="458" t="s">
        <v>125</v>
      </c>
      <c r="B417" s="458"/>
      <c r="C417" s="458"/>
      <c r="D417" s="458"/>
      <c r="E417" s="157"/>
      <c r="F417" s="157"/>
      <c r="G417" s="223"/>
      <c r="H417" s="200"/>
    </row>
    <row r="418" spans="1:8" s="48" customFormat="1" ht="13.5" customHeight="1" thickBot="1">
      <c r="A418" s="458" t="s">
        <v>268</v>
      </c>
      <c r="B418" s="458"/>
      <c r="C418" s="458"/>
      <c r="D418" s="458"/>
      <c r="E418" s="157"/>
      <c r="F418" s="157"/>
      <c r="G418" s="223"/>
      <c r="H418" s="200"/>
    </row>
    <row r="419" spans="1:11" s="48" customFormat="1" ht="38.25">
      <c r="A419" s="459" t="s">
        <v>26</v>
      </c>
      <c r="B419" s="459" t="s">
        <v>27</v>
      </c>
      <c r="C419" s="459" t="str">
        <f>C405</f>
        <v>Allocation for 2017-18                                     </v>
      </c>
      <c r="D419" s="459" t="s">
        <v>127</v>
      </c>
      <c r="E419" s="459" t="s">
        <v>128</v>
      </c>
      <c r="G419" s="224"/>
      <c r="H419" s="200"/>
      <c r="I419" s="158" t="s">
        <v>203</v>
      </c>
      <c r="J419" s="159" t="s">
        <v>223</v>
      </c>
      <c r="K419" s="160" t="s">
        <v>3</v>
      </c>
    </row>
    <row r="420" spans="1:11" s="48" customFormat="1" ht="12.75">
      <c r="A420" s="459">
        <v>1</v>
      </c>
      <c r="B420" s="459">
        <v>2</v>
      </c>
      <c r="C420" s="459">
        <v>3</v>
      </c>
      <c r="D420" s="459">
        <v>4</v>
      </c>
      <c r="E420" s="459">
        <v>5</v>
      </c>
      <c r="G420" s="224"/>
      <c r="H420" s="200"/>
      <c r="I420" s="554" t="s">
        <v>238</v>
      </c>
      <c r="J420" s="555"/>
      <c r="K420" s="556"/>
    </row>
    <row r="421" spans="1:11" s="48" customFormat="1" ht="13.5" customHeight="1">
      <c r="A421" s="471">
        <v>1</v>
      </c>
      <c r="B421" s="293" t="s">
        <v>133</v>
      </c>
      <c r="C421" s="473">
        <v>160.2</v>
      </c>
      <c r="D421" s="156">
        <v>151.7530830470566</v>
      </c>
      <c r="E421" s="474">
        <f>D421/C421</f>
        <v>0.9472726781963584</v>
      </c>
      <c r="F421" s="169"/>
      <c r="G421" s="225"/>
      <c r="H421" s="200"/>
      <c r="I421" s="161">
        <v>82.49768703038222</v>
      </c>
      <c r="J421" s="156">
        <v>69.25539601667438</v>
      </c>
      <c r="K421" s="162">
        <f>SUM(I421:J421)</f>
        <v>151.7530830470566</v>
      </c>
    </row>
    <row r="422" spans="1:11" s="48" customFormat="1" ht="13.5" customHeight="1">
      <c r="A422" s="471">
        <v>2</v>
      </c>
      <c r="B422" s="293" t="s">
        <v>134</v>
      </c>
      <c r="C422" s="473">
        <v>82.5</v>
      </c>
      <c r="D422" s="156">
        <v>78.17311506546145</v>
      </c>
      <c r="E422" s="474">
        <f aca="true" t="shared" si="62" ref="E422:E429">D422/C422</f>
        <v>0.9475529098843811</v>
      </c>
      <c r="F422" s="169"/>
      <c r="G422" s="225"/>
      <c r="H422" s="200"/>
      <c r="I422" s="161">
        <v>41.66975008167266</v>
      </c>
      <c r="J422" s="156">
        <v>36.503364983788785</v>
      </c>
      <c r="K422" s="162">
        <f aca="true" t="shared" si="63" ref="K422:K428">SUM(I422:J422)</f>
        <v>78.17311506546145</v>
      </c>
    </row>
    <row r="423" spans="1:11" s="48" customFormat="1" ht="13.5" customHeight="1">
      <c r="A423" s="471">
        <v>3</v>
      </c>
      <c r="B423" s="293" t="s">
        <v>135</v>
      </c>
      <c r="C423" s="473">
        <v>58.65</v>
      </c>
      <c r="D423" s="156">
        <v>55.51881694188221</v>
      </c>
      <c r="E423" s="474">
        <f t="shared" si="62"/>
        <v>0.9466123945759968</v>
      </c>
      <c r="F423" s="169"/>
      <c r="G423" s="225"/>
      <c r="H423" s="200"/>
      <c r="I423" s="161">
        <v>31.56799248611565</v>
      </c>
      <c r="J423" s="156">
        <v>23.950824455766558</v>
      </c>
      <c r="K423" s="162">
        <f t="shared" si="63"/>
        <v>55.51881694188221</v>
      </c>
    </row>
    <row r="424" spans="1:11" s="48" customFormat="1" ht="13.5" customHeight="1">
      <c r="A424" s="471">
        <v>4</v>
      </c>
      <c r="B424" s="293" t="s">
        <v>136</v>
      </c>
      <c r="C424" s="473">
        <v>123</v>
      </c>
      <c r="D424" s="156">
        <v>116.21390149710253</v>
      </c>
      <c r="E424" s="474">
        <f t="shared" si="62"/>
        <v>0.9448284674561181</v>
      </c>
      <c r="F424" s="169"/>
      <c r="G424" s="225"/>
      <c r="H424" s="200"/>
      <c r="I424" s="161">
        <v>73.9392535119242</v>
      </c>
      <c r="J424" s="156">
        <v>42.27464798517832</v>
      </c>
      <c r="K424" s="162">
        <f t="shared" si="63"/>
        <v>116.21390149710253</v>
      </c>
    </row>
    <row r="425" spans="1:11" s="48" customFormat="1" ht="13.5" customHeight="1">
      <c r="A425" s="471">
        <v>5</v>
      </c>
      <c r="B425" s="293" t="s">
        <v>137</v>
      </c>
      <c r="C425" s="473">
        <v>160.35</v>
      </c>
      <c r="D425" s="156">
        <v>151.67847138067566</v>
      </c>
      <c r="E425" s="474">
        <f t="shared" si="62"/>
        <v>0.9459212434092651</v>
      </c>
      <c r="F425" s="169"/>
      <c r="G425" s="225"/>
      <c r="H425" s="200"/>
      <c r="I425" s="161">
        <v>90.21430741587716</v>
      </c>
      <c r="J425" s="156">
        <v>61.464163964798516</v>
      </c>
      <c r="K425" s="162">
        <f t="shared" si="63"/>
        <v>151.67847138067566</v>
      </c>
    </row>
    <row r="426" spans="1:13" s="48" customFormat="1" ht="13.5" customHeight="1">
      <c r="A426" s="471">
        <v>6</v>
      </c>
      <c r="B426" s="293" t="s">
        <v>138</v>
      </c>
      <c r="C426" s="473">
        <v>87.75</v>
      </c>
      <c r="D426" s="156">
        <v>83.02797326750697</v>
      </c>
      <c r="E426" s="474">
        <f t="shared" si="62"/>
        <v>0.9461877295442389</v>
      </c>
      <c r="F426" s="169"/>
      <c r="G426" s="225"/>
      <c r="H426" s="200"/>
      <c r="I426" s="161">
        <v>48.54455733420451</v>
      </c>
      <c r="J426" s="156">
        <v>34.48341593330245</v>
      </c>
      <c r="K426" s="162">
        <f t="shared" si="63"/>
        <v>83.02797326750697</v>
      </c>
      <c r="M426" s="48" t="s">
        <v>107</v>
      </c>
    </row>
    <row r="427" spans="1:11" s="48" customFormat="1" ht="13.5" customHeight="1">
      <c r="A427" s="471">
        <v>7</v>
      </c>
      <c r="B427" s="293" t="s">
        <v>139</v>
      </c>
      <c r="C427" s="473">
        <v>69.6</v>
      </c>
      <c r="D427" s="156">
        <v>65.76087672626639</v>
      </c>
      <c r="E427" s="474">
        <f t="shared" si="62"/>
        <v>0.9448401828486551</v>
      </c>
      <c r="F427" s="169"/>
      <c r="G427" s="225"/>
      <c r="H427" s="200"/>
      <c r="I427" s="161">
        <v>41.81005227049984</v>
      </c>
      <c r="J427" s="156">
        <v>23.950824455766558</v>
      </c>
      <c r="K427" s="162">
        <f t="shared" si="63"/>
        <v>65.76087672626639</v>
      </c>
    </row>
    <row r="428" spans="1:11" s="48" customFormat="1" ht="13.5" customHeight="1" thickBot="1">
      <c r="A428" s="471">
        <v>8</v>
      </c>
      <c r="B428" s="293" t="s">
        <v>140</v>
      </c>
      <c r="C428" s="473">
        <v>40.95</v>
      </c>
      <c r="D428" s="156">
        <v>38.84376207404816</v>
      </c>
      <c r="E428" s="474">
        <f t="shared" si="62"/>
        <v>0.9485656184138743</v>
      </c>
      <c r="F428" s="169"/>
      <c r="G428" s="225"/>
      <c r="H428" s="200"/>
      <c r="I428" s="163">
        <v>19.22139986932375</v>
      </c>
      <c r="J428" s="164">
        <v>19.62236220472441</v>
      </c>
      <c r="K428" s="165">
        <f t="shared" si="63"/>
        <v>38.84376207404816</v>
      </c>
    </row>
    <row r="429" spans="1:11" s="48" customFormat="1" ht="13.5" customHeight="1" thickBot="1">
      <c r="A429" s="472"/>
      <c r="B429" s="464" t="s">
        <v>3</v>
      </c>
      <c r="C429" s="465">
        <v>783</v>
      </c>
      <c r="D429" s="465">
        <v>740.9699999999999</v>
      </c>
      <c r="E429" s="475">
        <f t="shared" si="62"/>
        <v>0.9463218390804596</v>
      </c>
      <c r="F429" s="170"/>
      <c r="G429" s="226"/>
      <c r="H429" s="200"/>
      <c r="I429" s="166">
        <v>429.46500000000003</v>
      </c>
      <c r="J429" s="167">
        <v>311.505</v>
      </c>
      <c r="K429" s="168">
        <f>SUM(K421:K428)</f>
        <v>740.9699999999999</v>
      </c>
    </row>
    <row r="430" spans="1:8" s="48" customFormat="1" ht="13.5" customHeight="1">
      <c r="A430" s="171"/>
      <c r="B430" s="172"/>
      <c r="C430" s="476"/>
      <c r="D430" s="173"/>
      <c r="E430" s="477"/>
      <c r="F430" s="173"/>
      <c r="G430" s="226"/>
      <c r="H430" s="200"/>
    </row>
    <row r="431" spans="1:7" s="48" customFormat="1" ht="13.5" customHeight="1">
      <c r="A431" s="458" t="s">
        <v>208</v>
      </c>
      <c r="B431" s="458"/>
      <c r="C431" s="458"/>
      <c r="D431" s="458"/>
      <c r="E431" s="157"/>
      <c r="F431" s="157"/>
      <c r="G431" s="157"/>
    </row>
    <row r="432" spans="1:7" s="48" customFormat="1" ht="13.5" customHeight="1" thickBot="1">
      <c r="A432" s="596" t="s">
        <v>268</v>
      </c>
      <c r="B432" s="596"/>
      <c r="C432" s="596"/>
      <c r="D432" s="596"/>
      <c r="E432" s="596"/>
      <c r="F432" s="596"/>
      <c r="G432" s="157"/>
    </row>
    <row r="433" spans="1:11" s="48" customFormat="1" ht="61.5" customHeight="1">
      <c r="A433" s="459" t="s">
        <v>26</v>
      </c>
      <c r="B433" s="459" t="s">
        <v>27</v>
      </c>
      <c r="C433" s="459" t="str">
        <f>C419</f>
        <v>Allocation for 2017-18                                     </v>
      </c>
      <c r="D433" s="459" t="s">
        <v>126</v>
      </c>
      <c r="E433" s="459" t="s">
        <v>323</v>
      </c>
      <c r="F433" s="460" t="s">
        <v>287</v>
      </c>
      <c r="G433" s="174"/>
      <c r="I433" s="158" t="s">
        <v>203</v>
      </c>
      <c r="J433" s="159" t="s">
        <v>223</v>
      </c>
      <c r="K433" s="160" t="s">
        <v>3</v>
      </c>
    </row>
    <row r="434" spans="1:11" s="48" customFormat="1" ht="15.75" customHeight="1">
      <c r="A434" s="459">
        <v>1</v>
      </c>
      <c r="B434" s="459">
        <v>2</v>
      </c>
      <c r="C434" s="459">
        <v>3</v>
      </c>
      <c r="D434" s="459">
        <v>4</v>
      </c>
      <c r="E434" s="459">
        <v>5</v>
      </c>
      <c r="F434" s="461">
        <v>6</v>
      </c>
      <c r="G434" s="174"/>
      <c r="I434" s="554" t="s">
        <v>242</v>
      </c>
      <c r="J434" s="555"/>
      <c r="K434" s="556"/>
    </row>
    <row r="435" spans="1:11" s="48" customFormat="1" ht="13.5" customHeight="1">
      <c r="A435" s="471">
        <v>1</v>
      </c>
      <c r="B435" s="293" t="s">
        <v>133</v>
      </c>
      <c r="C435" s="473">
        <f aca="true" t="shared" si="64" ref="C435:C442">C421</f>
        <v>160.2</v>
      </c>
      <c r="D435" s="478">
        <f aca="true" t="shared" si="65" ref="D435:D442">F407</f>
        <v>161.7671214591556</v>
      </c>
      <c r="E435" s="156">
        <f aca="true" t="shared" si="66" ref="E435:E442">D435-D421</f>
        <v>10.014038412098984</v>
      </c>
      <c r="F435" s="463">
        <f>E435/C435</f>
        <v>0.06250960307177893</v>
      </c>
      <c r="G435" s="169"/>
      <c r="I435" s="161">
        <v>8.482695197647871</v>
      </c>
      <c r="J435" s="156">
        <v>1.5313432144511268</v>
      </c>
      <c r="K435" s="162">
        <f>SUM(I435:J435)</f>
        <v>10.014038412098998</v>
      </c>
    </row>
    <row r="436" spans="1:11" s="48" customFormat="1" ht="13.5" customHeight="1">
      <c r="A436" s="471">
        <v>2</v>
      </c>
      <c r="B436" s="293" t="s">
        <v>134</v>
      </c>
      <c r="C436" s="473">
        <f t="shared" si="64"/>
        <v>82.5</v>
      </c>
      <c r="D436" s="478">
        <f t="shared" si="65"/>
        <v>83.26928729240052</v>
      </c>
      <c r="E436" s="156">
        <f t="shared" si="66"/>
        <v>5.096172226939075</v>
      </c>
      <c r="F436" s="463">
        <f aca="true" t="shared" si="67" ref="F436:F443">E436/C436</f>
        <v>0.06177178456895848</v>
      </c>
      <c r="G436" s="169"/>
      <c r="I436" s="161">
        <v>4.291922574322115</v>
      </c>
      <c r="J436" s="156">
        <v>0.80424965261696</v>
      </c>
      <c r="K436" s="162">
        <f aca="true" t="shared" si="68" ref="K436:K442">SUM(I436:J436)</f>
        <v>5.096172226939075</v>
      </c>
    </row>
    <row r="437" spans="1:11" s="48" customFormat="1" ht="13.5" customHeight="1">
      <c r="A437" s="471">
        <v>3</v>
      </c>
      <c r="B437" s="293" t="s">
        <v>135</v>
      </c>
      <c r="C437" s="473">
        <f t="shared" si="64"/>
        <v>58.65</v>
      </c>
      <c r="D437" s="478">
        <f t="shared" si="65"/>
        <v>59.31032129924514</v>
      </c>
      <c r="E437" s="156">
        <f t="shared" si="66"/>
        <v>3.791504357362932</v>
      </c>
      <c r="F437" s="463">
        <f t="shared" si="67"/>
        <v>0.06464628060294854</v>
      </c>
      <c r="G437" s="169"/>
      <c r="I437" s="161">
        <v>3.2581231623652354</v>
      </c>
      <c r="J437" s="156">
        <v>0.5333811949976894</v>
      </c>
      <c r="K437" s="162">
        <f t="shared" si="68"/>
        <v>3.791504357362925</v>
      </c>
    </row>
    <row r="438" spans="1:11" s="48" customFormat="1" ht="13.5" customHeight="1">
      <c r="A438" s="471">
        <v>4</v>
      </c>
      <c r="B438" s="293" t="s">
        <v>136</v>
      </c>
      <c r="C438" s="473">
        <f t="shared" si="64"/>
        <v>123</v>
      </c>
      <c r="D438" s="478">
        <f t="shared" si="65"/>
        <v>124.76260044677478</v>
      </c>
      <c r="E438" s="156">
        <f t="shared" si="66"/>
        <v>8.548698949672257</v>
      </c>
      <c r="F438" s="463">
        <f t="shared" si="67"/>
        <v>0.06950161747701022</v>
      </c>
      <c r="G438" s="169"/>
      <c r="I438" s="161">
        <v>7.612670695851023</v>
      </c>
      <c r="J438" s="156">
        <v>0.9360282538212168</v>
      </c>
      <c r="K438" s="162">
        <f t="shared" si="68"/>
        <v>8.54869894967224</v>
      </c>
    </row>
    <row r="439" spans="1:11" s="48" customFormat="1" ht="13.5" customHeight="1">
      <c r="A439" s="471">
        <v>5</v>
      </c>
      <c r="B439" s="293" t="s">
        <v>137</v>
      </c>
      <c r="C439" s="473">
        <f t="shared" si="64"/>
        <v>160.35</v>
      </c>
      <c r="D439" s="478">
        <f t="shared" si="65"/>
        <v>162.3449832319493</v>
      </c>
      <c r="E439" s="156">
        <f t="shared" si="66"/>
        <v>10.66651185127364</v>
      </c>
      <c r="F439" s="463">
        <f t="shared" si="67"/>
        <v>0.06652018616322819</v>
      </c>
      <c r="G439" s="169"/>
      <c r="I439" s="161">
        <v>9.301569748448216</v>
      </c>
      <c r="J439" s="156">
        <v>1.3649421028253954</v>
      </c>
      <c r="K439" s="162">
        <f t="shared" si="68"/>
        <v>10.666511851273611</v>
      </c>
    </row>
    <row r="440" spans="1:11" s="48" customFormat="1" ht="13.5" customHeight="1">
      <c r="A440" s="471">
        <v>6</v>
      </c>
      <c r="B440" s="293" t="s">
        <v>138</v>
      </c>
      <c r="C440" s="473">
        <f t="shared" si="64"/>
        <v>87.75</v>
      </c>
      <c r="D440" s="478">
        <f t="shared" si="65"/>
        <v>88.79724758382852</v>
      </c>
      <c r="E440" s="156">
        <f t="shared" si="66"/>
        <v>5.769274316321557</v>
      </c>
      <c r="F440" s="463">
        <f t="shared" si="67"/>
        <v>0.06574671585551632</v>
      </c>
      <c r="G440" s="182"/>
      <c r="I440" s="161">
        <v>5.009647174126094</v>
      </c>
      <c r="J440" s="156">
        <v>0.7596271421954643</v>
      </c>
      <c r="K440" s="162">
        <f t="shared" si="68"/>
        <v>5.7692743163215585</v>
      </c>
    </row>
    <row r="441" spans="1:11" s="48" customFormat="1" ht="13.5" customHeight="1">
      <c r="A441" s="471">
        <v>7</v>
      </c>
      <c r="B441" s="293" t="s">
        <v>139</v>
      </c>
      <c r="C441" s="473">
        <f t="shared" si="64"/>
        <v>69.6</v>
      </c>
      <c r="D441" s="478">
        <f t="shared" si="65"/>
        <v>70.60470548741893</v>
      </c>
      <c r="E441" s="156">
        <f t="shared" si="66"/>
        <v>4.843828761152537</v>
      </c>
      <c r="F441" s="463">
        <f t="shared" si="67"/>
        <v>0.06959524082115714</v>
      </c>
      <c r="G441" s="169"/>
      <c r="I441" s="161">
        <v>4.310447566154849</v>
      </c>
      <c r="J441" s="156">
        <v>0.5333811949976894</v>
      </c>
      <c r="K441" s="162">
        <f t="shared" si="68"/>
        <v>4.843828761152539</v>
      </c>
    </row>
    <row r="442" spans="1:11" s="48" customFormat="1" ht="13.5" customHeight="1" thickBot="1">
      <c r="A442" s="471">
        <v>8</v>
      </c>
      <c r="B442" s="293" t="s">
        <v>140</v>
      </c>
      <c r="C442" s="473">
        <f t="shared" si="64"/>
        <v>40.95</v>
      </c>
      <c r="D442" s="478">
        <f t="shared" si="65"/>
        <v>41.26373319922726</v>
      </c>
      <c r="E442" s="156">
        <f t="shared" si="66"/>
        <v>2.419971125179103</v>
      </c>
      <c r="F442" s="463">
        <f t="shared" si="67"/>
        <v>0.05909575397262766</v>
      </c>
      <c r="G442" s="169"/>
      <c r="I442" s="163">
        <v>1.9879238810846118</v>
      </c>
      <c r="J442" s="164">
        <v>0.43204724409449113</v>
      </c>
      <c r="K442" s="165">
        <f t="shared" si="68"/>
        <v>2.419971125179103</v>
      </c>
    </row>
    <row r="443" spans="1:11" s="48" customFormat="1" ht="13.5" customHeight="1" thickBot="1">
      <c r="A443" s="472"/>
      <c r="B443" s="464" t="s">
        <v>3</v>
      </c>
      <c r="C443" s="465">
        <f>SUM(C435:C442)</f>
        <v>783</v>
      </c>
      <c r="D443" s="466">
        <f>SUM(D435:D442)</f>
        <v>792.1200000000001</v>
      </c>
      <c r="E443" s="479">
        <f>SUM(E435:E442)</f>
        <v>51.150000000000084</v>
      </c>
      <c r="F443" s="467">
        <f t="shared" si="67"/>
        <v>0.0653256704980844</v>
      </c>
      <c r="G443" s="170"/>
      <c r="I443" s="166">
        <v>44.25500000000002</v>
      </c>
      <c r="J443" s="167">
        <v>6.895000000000033</v>
      </c>
      <c r="K443" s="168">
        <f>SUM(K435:K442)</f>
        <v>51.15000000000005</v>
      </c>
    </row>
    <row r="444" spans="1:7" s="48" customFormat="1" ht="13.5" customHeight="1">
      <c r="A444" s="171"/>
      <c r="B444" s="172"/>
      <c r="C444" s="175"/>
      <c r="D444" s="173"/>
      <c r="E444" s="176"/>
      <c r="F444" s="170"/>
      <c r="G444" s="170"/>
    </row>
    <row r="445" spans="1:7" s="48" customFormat="1" ht="13.5" customHeight="1">
      <c r="A445" s="171"/>
      <c r="B445" s="172"/>
      <c r="C445" s="175"/>
      <c r="D445" s="173"/>
      <c r="E445" s="176"/>
      <c r="F445" s="170"/>
      <c r="G445" s="170"/>
    </row>
    <row r="446" spans="1:14" s="48" customFormat="1" ht="15.75">
      <c r="A446" s="547" t="s">
        <v>160</v>
      </c>
      <c r="B446" s="177"/>
      <c r="C446" s="177"/>
      <c r="D446" s="177"/>
      <c r="E446" s="177"/>
      <c r="N446" s="48" t="s">
        <v>107</v>
      </c>
    </row>
    <row r="447" s="48" customFormat="1" ht="6.75" customHeight="1">
      <c r="A447" s="480"/>
    </row>
    <row r="448" spans="1:12" s="48" customFormat="1" ht="12.75" hidden="1">
      <c r="A448" s="480"/>
      <c r="J448" s="48">
        <v>14.728805012224939</v>
      </c>
      <c r="L448" s="48">
        <f>J448+K448</f>
        <v>14.728805012224939</v>
      </c>
    </row>
    <row r="449" spans="2:12" s="48" customFormat="1" ht="12.75" hidden="1">
      <c r="B449" s="48" t="s">
        <v>39</v>
      </c>
      <c r="J449" s="48">
        <v>17.64803636919316</v>
      </c>
      <c r="L449" s="48">
        <f>J449+K449</f>
        <v>17.64803636919316</v>
      </c>
    </row>
    <row r="450" spans="10:12" s="48" customFormat="1" ht="12.75" hidden="1">
      <c r="J450" s="48">
        <v>3.8363065403422993</v>
      </c>
      <c r="L450" s="48">
        <f>J450+K450</f>
        <v>3.8363065403422993</v>
      </c>
    </row>
    <row r="451" spans="2:12" s="48" customFormat="1" ht="12.75" hidden="1">
      <c r="B451" s="48" t="s">
        <v>40</v>
      </c>
      <c r="E451" s="64">
        <f>8581264*220*1.5/10000000</f>
        <v>283.181712</v>
      </c>
      <c r="J451" s="48">
        <v>12.920631112469437</v>
      </c>
      <c r="L451" s="48">
        <f>J451+K451</f>
        <v>12.920631112469437</v>
      </c>
    </row>
    <row r="452" spans="2:12" s="48" customFormat="1" ht="12.75" hidden="1">
      <c r="B452" s="48" t="s">
        <v>41</v>
      </c>
      <c r="E452" s="64">
        <f>8581264*220*1/10000000</f>
        <v>188.787808</v>
      </c>
      <c r="J452" s="48">
        <v>96.83999999999995</v>
      </c>
      <c r="K452" s="48">
        <f>SUM(K443:K451)</f>
        <v>51.15000000000005</v>
      </c>
      <c r="L452" s="48">
        <f>SUM(L443:L451)</f>
        <v>49.13377903422984</v>
      </c>
    </row>
    <row r="453" spans="2:5" s="48" customFormat="1" ht="12.75" hidden="1">
      <c r="B453" s="47" t="s">
        <v>3</v>
      </c>
      <c r="E453" s="86">
        <f>E452+E451</f>
        <v>471.96952</v>
      </c>
    </row>
    <row r="454" spans="2:5" s="48" customFormat="1" ht="12.75" hidden="1">
      <c r="B454" s="48" t="s">
        <v>42</v>
      </c>
      <c r="E454" s="64">
        <v>477.18</v>
      </c>
    </row>
    <row r="455" spans="2:5" s="48" customFormat="1" ht="12.75" hidden="1">
      <c r="B455" s="47" t="s">
        <v>43</v>
      </c>
      <c r="E455" s="86">
        <f>E454-E453</f>
        <v>5.210480000000018</v>
      </c>
    </row>
    <row r="456" s="48" customFormat="1" ht="12.75" hidden="1">
      <c r="C456" s="64"/>
    </row>
    <row r="457" s="48" customFormat="1" ht="12.75" hidden="1">
      <c r="C457" s="64"/>
    </row>
    <row r="458" s="48" customFormat="1" ht="12.75" hidden="1">
      <c r="C458" s="64"/>
    </row>
    <row r="459" spans="1:3" s="48" customFormat="1" ht="12.75">
      <c r="A459" s="47" t="s">
        <v>91</v>
      </c>
      <c r="C459" s="64"/>
    </row>
    <row r="460" s="48" customFormat="1" ht="5.25" customHeight="1">
      <c r="C460" s="64"/>
    </row>
    <row r="461" spans="1:4" s="48" customFormat="1" ht="12.75">
      <c r="A461" s="595" t="s">
        <v>288</v>
      </c>
      <c r="B461" s="595"/>
      <c r="C461" s="595"/>
      <c r="D461" s="595"/>
    </row>
    <row r="462" spans="1:6" s="48" customFormat="1" ht="27" customHeight="1">
      <c r="A462" s="481" t="s">
        <v>16</v>
      </c>
      <c r="B462" s="481" t="s">
        <v>8</v>
      </c>
      <c r="C462" s="481" t="s">
        <v>9</v>
      </c>
      <c r="D462" s="481" t="s">
        <v>59</v>
      </c>
      <c r="F462" s="178"/>
    </row>
    <row r="463" spans="1:6" s="48" customFormat="1" ht="15" customHeight="1" hidden="1">
      <c r="A463" s="482"/>
      <c r="B463" s="483" t="s">
        <v>60</v>
      </c>
      <c r="C463" s="482"/>
      <c r="D463" s="484"/>
      <c r="F463" s="178"/>
    </row>
    <row r="464" spans="1:7" s="48" customFormat="1" ht="26.25" customHeight="1">
      <c r="A464" s="633" t="s">
        <v>69</v>
      </c>
      <c r="B464" s="400" t="s">
        <v>314</v>
      </c>
      <c r="C464" s="406" t="s">
        <v>313</v>
      </c>
      <c r="D464" s="400">
        <v>0</v>
      </c>
      <c r="F464" s="178"/>
      <c r="G464" s="48" t="s">
        <v>107</v>
      </c>
    </row>
    <row r="465" spans="1:6" s="48" customFormat="1" ht="15" customHeight="1">
      <c r="A465" s="634"/>
      <c r="B465" s="400" t="s">
        <v>68</v>
      </c>
      <c r="C465" s="400" t="s">
        <v>315</v>
      </c>
      <c r="D465" s="485">
        <v>9.01</v>
      </c>
      <c r="F465" s="178"/>
    </row>
    <row r="466" spans="1:6" s="48" customFormat="1" ht="34.5" customHeight="1">
      <c r="A466" s="634"/>
      <c r="B466" s="486" t="s">
        <v>120</v>
      </c>
      <c r="C466" s="406" t="s">
        <v>316</v>
      </c>
      <c r="D466" s="485">
        <v>12.61</v>
      </c>
      <c r="F466" s="178"/>
    </row>
    <row r="467" spans="1:6" s="48" customFormat="1" ht="34.5" customHeight="1">
      <c r="A467" s="635"/>
      <c r="B467" s="486" t="s">
        <v>7</v>
      </c>
      <c r="C467" s="400" t="s">
        <v>317</v>
      </c>
      <c r="D467" s="485">
        <v>14.42</v>
      </c>
      <c r="F467" s="178"/>
    </row>
    <row r="468" spans="1:4" s="48" customFormat="1" ht="12.75">
      <c r="A468" s="570" t="s">
        <v>3</v>
      </c>
      <c r="B468" s="571"/>
      <c r="C468" s="572"/>
      <c r="D468" s="479">
        <f>SUM(D464:D467)</f>
        <v>36.04</v>
      </c>
    </row>
    <row r="469" s="48" customFormat="1" ht="7.5" customHeight="1"/>
    <row r="470" s="48" customFormat="1" ht="12.75">
      <c r="A470" s="47" t="s">
        <v>161</v>
      </c>
    </row>
    <row r="471" spans="1:6" s="48" customFormat="1" ht="30" customHeight="1">
      <c r="A471" s="487" t="s">
        <v>32</v>
      </c>
      <c r="B471" s="487"/>
      <c r="C471" s="488" t="s">
        <v>51</v>
      </c>
      <c r="D471" s="488" t="s">
        <v>52</v>
      </c>
      <c r="E471" s="488" t="s">
        <v>30</v>
      </c>
      <c r="F471" s="488" t="s">
        <v>31</v>
      </c>
    </row>
    <row r="472" spans="1:6" s="49" customFormat="1" ht="13.5" customHeight="1">
      <c r="A472" s="489">
        <v>1</v>
      </c>
      <c r="B472" s="489">
        <v>2</v>
      </c>
      <c r="C472" s="489">
        <v>3</v>
      </c>
      <c r="D472" s="489">
        <v>4</v>
      </c>
      <c r="E472" s="489" t="s">
        <v>57</v>
      </c>
      <c r="F472" s="489">
        <v>6</v>
      </c>
    </row>
    <row r="473" spans="1:7" s="48" customFormat="1" ht="27" customHeight="1">
      <c r="A473" s="485">
        <v>1</v>
      </c>
      <c r="B473" s="490" t="s">
        <v>276</v>
      </c>
      <c r="C473" s="334">
        <v>36.04</v>
      </c>
      <c r="D473" s="334">
        <v>36.08</v>
      </c>
      <c r="E473" s="334">
        <f>D473-C473</f>
        <v>0.03999999999999915</v>
      </c>
      <c r="F473" s="474">
        <f>E473/C473</f>
        <v>0.0011098779134294991</v>
      </c>
      <c r="G473" s="179"/>
    </row>
    <row r="474" spans="1:6" s="48" customFormat="1" ht="38.25">
      <c r="A474" s="485">
        <v>2</v>
      </c>
      <c r="B474" s="490" t="s">
        <v>324</v>
      </c>
      <c r="C474" s="334">
        <v>0</v>
      </c>
      <c r="D474" s="334">
        <v>0</v>
      </c>
      <c r="E474" s="334">
        <f>D474-C474</f>
        <v>0</v>
      </c>
      <c r="F474" s="474">
        <v>0</v>
      </c>
    </row>
    <row r="475" spans="1:6" s="48" customFormat="1" ht="25.5">
      <c r="A475" s="485">
        <v>3</v>
      </c>
      <c r="B475" s="490" t="s">
        <v>289</v>
      </c>
      <c r="C475" s="334">
        <v>36.04</v>
      </c>
      <c r="D475" s="334">
        <v>36.04</v>
      </c>
      <c r="E475" s="334">
        <f>D475-C475</f>
        <v>0</v>
      </c>
      <c r="F475" s="474">
        <f>E475/C475</f>
        <v>0</v>
      </c>
    </row>
    <row r="476" spans="1:6" s="48" customFormat="1" ht="15.75" customHeight="1">
      <c r="A476" s="485">
        <v>4</v>
      </c>
      <c r="B476" s="491" t="s">
        <v>67</v>
      </c>
      <c r="C476" s="492"/>
      <c r="D476" s="492">
        <f>D474+D475</f>
        <v>36.04</v>
      </c>
      <c r="E476" s="492">
        <f>D476-C476</f>
        <v>36.04</v>
      </c>
      <c r="F476" s="475" t="e">
        <f>E476/C476</f>
        <v>#DIV/0!</v>
      </c>
    </row>
    <row r="477" spans="1:6" s="48" customFormat="1" ht="15.75" customHeight="1">
      <c r="A477" s="567"/>
      <c r="B477" s="567"/>
      <c r="C477" s="567"/>
      <c r="D477" s="567"/>
      <c r="E477" s="567"/>
      <c r="F477" s="493"/>
    </row>
    <row r="478" spans="1:7" s="155" customFormat="1" ht="12.75">
      <c r="A478" s="122" t="s">
        <v>290</v>
      </c>
      <c r="B478" s="126"/>
      <c r="C478" s="126"/>
      <c r="D478" s="126"/>
      <c r="E478" s="126"/>
      <c r="F478" s="126"/>
      <c r="G478" s="126"/>
    </row>
    <row r="479" spans="4:7" s="126" customFormat="1" ht="12.75">
      <c r="D479" s="494" t="s">
        <v>10</v>
      </c>
      <c r="E479" s="632" t="s">
        <v>338</v>
      </c>
      <c r="F479" s="632"/>
      <c r="G479" s="632"/>
    </row>
    <row r="480" spans="1:7" s="126" customFormat="1" ht="25.5">
      <c r="A480" s="495" t="s">
        <v>32</v>
      </c>
      <c r="B480" s="495" t="s">
        <v>61</v>
      </c>
      <c r="C480" s="495" t="s">
        <v>291</v>
      </c>
      <c r="D480" s="495" t="s">
        <v>35</v>
      </c>
      <c r="E480" s="495" t="s">
        <v>62</v>
      </c>
      <c r="F480" s="495" t="s">
        <v>63</v>
      </c>
      <c r="G480" s="495" t="s">
        <v>209</v>
      </c>
    </row>
    <row r="481" spans="1:7" s="126" customFormat="1" ht="12.75">
      <c r="A481" s="496">
        <v>1</v>
      </c>
      <c r="B481" s="496">
        <v>2</v>
      </c>
      <c r="C481" s="496">
        <v>3</v>
      </c>
      <c r="D481" s="496">
        <v>4</v>
      </c>
      <c r="E481" s="496">
        <v>5</v>
      </c>
      <c r="F481" s="496">
        <v>6</v>
      </c>
      <c r="G481" s="496">
        <v>7</v>
      </c>
    </row>
    <row r="482" spans="1:7" s="126" customFormat="1" ht="25.5">
      <c r="A482" s="497">
        <v>1</v>
      </c>
      <c r="B482" s="498" t="s">
        <v>66</v>
      </c>
      <c r="C482" s="499">
        <v>18.04</v>
      </c>
      <c r="D482" s="499">
        <v>14.42</v>
      </c>
      <c r="E482" s="500">
        <v>14.42</v>
      </c>
      <c r="F482" s="501">
        <f>E482/D482</f>
        <v>1</v>
      </c>
      <c r="G482" s="502">
        <f>D482-E482</f>
        <v>0</v>
      </c>
    </row>
    <row r="483" spans="1:7" s="126" customFormat="1" ht="58.5" customHeight="1">
      <c r="A483" s="497">
        <v>2</v>
      </c>
      <c r="B483" s="498" t="s">
        <v>64</v>
      </c>
      <c r="C483" s="636">
        <v>18.04</v>
      </c>
      <c r="D483" s="636">
        <v>21.62</v>
      </c>
      <c r="E483" s="617">
        <v>21.62</v>
      </c>
      <c r="F483" s="619">
        <f>E483/C483</f>
        <v>1.1984478935698448</v>
      </c>
      <c r="G483" s="621">
        <f>D483-E483</f>
        <v>0</v>
      </c>
    </row>
    <row r="484" spans="1:7" s="126" customFormat="1" ht="38.25">
      <c r="A484" s="497">
        <v>3</v>
      </c>
      <c r="B484" s="498" t="s">
        <v>65</v>
      </c>
      <c r="C484" s="637"/>
      <c r="D484" s="637"/>
      <c r="E484" s="618"/>
      <c r="F484" s="620"/>
      <c r="G484" s="622"/>
    </row>
    <row r="485" spans="1:7" s="126" customFormat="1" ht="12.75">
      <c r="A485" s="602" t="s">
        <v>3</v>
      </c>
      <c r="B485" s="603"/>
      <c r="C485" s="502">
        <f>SUM(C482:C484)</f>
        <v>36.08</v>
      </c>
      <c r="D485" s="502">
        <f>D482+D483</f>
        <v>36.04</v>
      </c>
      <c r="E485" s="502">
        <f>E483+E482</f>
        <v>36.04</v>
      </c>
      <c r="F485" s="501">
        <f>E485/C485</f>
        <v>0.9988913525498891</v>
      </c>
      <c r="G485" s="502">
        <f>G482+G483</f>
        <v>0</v>
      </c>
    </row>
    <row r="486" s="126" customFormat="1" ht="12.75" customHeight="1"/>
    <row r="487" spans="1:7" ht="18">
      <c r="A487" s="134" t="s">
        <v>162</v>
      </c>
      <c r="B487" s="135"/>
      <c r="C487" s="135"/>
      <c r="D487" s="135"/>
      <c r="E487" s="135"/>
      <c r="F487" s="113"/>
      <c r="G487" s="113"/>
    </row>
    <row r="488" ht="6.75" customHeight="1">
      <c r="A488" s="79"/>
    </row>
    <row r="489" spans="1:9" ht="12.75" hidden="1">
      <c r="A489" s="79"/>
      <c r="I489" s="4">
        <f>79.16+23.01</f>
        <v>102.17</v>
      </c>
    </row>
    <row r="490" spans="1:9" ht="12.75" hidden="1">
      <c r="A490" s="48"/>
      <c r="B490" s="48" t="s">
        <v>39</v>
      </c>
      <c r="C490" s="48"/>
      <c r="D490" s="48"/>
      <c r="E490" s="48"/>
      <c r="F490" s="48"/>
      <c r="G490" s="48"/>
      <c r="I490" s="4">
        <f>32.78-19.23</f>
        <v>13.55</v>
      </c>
    </row>
    <row r="491" spans="1:7" ht="12.75" hidden="1">
      <c r="A491" s="48"/>
      <c r="B491" s="48"/>
      <c r="C491" s="48"/>
      <c r="D491" s="48"/>
      <c r="E491" s="48"/>
      <c r="F491" s="48"/>
      <c r="G491" s="48"/>
    </row>
    <row r="492" spans="1:7" ht="12.75" hidden="1">
      <c r="A492" s="48"/>
      <c r="B492" s="48" t="s">
        <v>40</v>
      </c>
      <c r="E492" s="64">
        <f>8581264*220*1.5/10000000</f>
        <v>283.181712</v>
      </c>
      <c r="F492" s="48"/>
      <c r="G492" s="48"/>
    </row>
    <row r="493" spans="1:7" ht="12.75" hidden="1">
      <c r="A493" s="48"/>
      <c r="B493" s="48" t="s">
        <v>41</v>
      </c>
      <c r="E493" s="64">
        <f>8581264*220*1/10000000</f>
        <v>188.787808</v>
      </c>
      <c r="F493" s="48"/>
      <c r="G493" s="48"/>
    </row>
    <row r="494" spans="1:7" ht="12.75" hidden="1">
      <c r="A494" s="48"/>
      <c r="B494" s="47" t="s">
        <v>3</v>
      </c>
      <c r="E494" s="86">
        <f>E493+E492</f>
        <v>471.96952</v>
      </c>
      <c r="F494" s="48"/>
      <c r="G494" s="48"/>
    </row>
    <row r="495" spans="1:7" ht="12.75" hidden="1">
      <c r="A495" s="48"/>
      <c r="B495" s="48" t="s">
        <v>42</v>
      </c>
      <c r="E495" s="64">
        <v>477.18</v>
      </c>
      <c r="F495" s="48"/>
      <c r="G495" s="48"/>
    </row>
    <row r="496" spans="1:7" ht="12.75" hidden="1">
      <c r="A496" s="48"/>
      <c r="B496" s="47" t="s">
        <v>43</v>
      </c>
      <c r="E496" s="86">
        <f>E495-E494</f>
        <v>5.210480000000018</v>
      </c>
      <c r="F496" s="48"/>
      <c r="G496" s="48"/>
    </row>
    <row r="497" spans="1:10" ht="12.75" hidden="1">
      <c r="A497" s="48"/>
      <c r="B497" s="48"/>
      <c r="C497" s="64"/>
      <c r="D497" s="48"/>
      <c r="E497" s="48"/>
      <c r="F497" s="48"/>
      <c r="G497" s="48"/>
      <c r="I497" s="4">
        <v>73269480</v>
      </c>
      <c r="J497" s="4">
        <f>I497/100000</f>
        <v>732.6948</v>
      </c>
    </row>
    <row r="498" spans="1:7" ht="12.75" hidden="1">
      <c r="A498" s="48"/>
      <c r="B498" s="48"/>
      <c r="C498" s="64"/>
      <c r="D498" s="48"/>
      <c r="E498" s="48"/>
      <c r="F498" s="48"/>
      <c r="G498" s="48"/>
    </row>
    <row r="499" spans="1:7" ht="12.75" hidden="1">
      <c r="A499" s="48"/>
      <c r="B499" s="48"/>
      <c r="C499" s="64"/>
      <c r="D499" s="48"/>
      <c r="E499" s="48"/>
      <c r="F499" s="48"/>
      <c r="G499" s="48"/>
    </row>
    <row r="500" spans="1:7" ht="12.75">
      <c r="A500" s="47" t="s">
        <v>100</v>
      </c>
      <c r="B500" s="48"/>
      <c r="C500" s="64"/>
      <c r="D500" s="48"/>
      <c r="E500" s="48"/>
      <c r="F500" s="48"/>
      <c r="G500" s="48"/>
    </row>
    <row r="501" spans="1:7" ht="5.25" customHeight="1">
      <c r="A501" s="48"/>
      <c r="B501" s="48"/>
      <c r="C501" s="64"/>
      <c r="D501" s="48"/>
      <c r="E501" s="48"/>
      <c r="F501" s="48"/>
      <c r="G501" s="48"/>
    </row>
    <row r="502" spans="1:7" ht="12.75">
      <c r="A502" s="595" t="s">
        <v>292</v>
      </c>
      <c r="B502" s="595"/>
      <c r="C502" s="595"/>
      <c r="D502" s="595"/>
      <c r="E502" s="48"/>
      <c r="F502" s="48"/>
      <c r="G502" s="48"/>
    </row>
    <row r="503" spans="1:6" ht="27" customHeight="1">
      <c r="A503" s="87" t="s">
        <v>89</v>
      </c>
      <c r="B503" s="87" t="s">
        <v>8</v>
      </c>
      <c r="C503" s="87" t="s">
        <v>9</v>
      </c>
      <c r="D503" s="87" t="s">
        <v>59</v>
      </c>
      <c r="F503" s="88"/>
    </row>
    <row r="504" spans="1:6" ht="15" customHeight="1" hidden="1">
      <c r="A504" s="107"/>
      <c r="B504" s="503" t="s">
        <v>60</v>
      </c>
      <c r="C504" s="107"/>
      <c r="D504" s="108"/>
      <c r="F504" s="88"/>
    </row>
    <row r="505" spans="1:6" ht="27" customHeight="1">
      <c r="A505" s="563" t="s">
        <v>69</v>
      </c>
      <c r="B505" s="89" t="s">
        <v>314</v>
      </c>
      <c r="C505" s="406" t="s">
        <v>313</v>
      </c>
      <c r="D505" s="192">
        <v>0.36</v>
      </c>
      <c r="F505" s="88"/>
    </row>
    <row r="506" spans="1:6" ht="15" customHeight="1">
      <c r="A506" s="564"/>
      <c r="B506" s="89" t="s">
        <v>68</v>
      </c>
      <c r="C506" s="400" t="s">
        <v>315</v>
      </c>
      <c r="D506" s="504">
        <v>34.53</v>
      </c>
      <c r="F506" s="88"/>
    </row>
    <row r="507" spans="1:7" ht="15" customHeight="1">
      <c r="A507" s="564"/>
      <c r="B507" s="93" t="s">
        <v>6</v>
      </c>
      <c r="C507" s="406" t="s">
        <v>316</v>
      </c>
      <c r="D507" s="504">
        <v>47.18</v>
      </c>
      <c r="F507" s="88"/>
      <c r="G507" s="4" t="s">
        <v>107</v>
      </c>
    </row>
    <row r="508" spans="1:6" ht="15" customHeight="1">
      <c r="A508" s="180"/>
      <c r="B508" s="181" t="s">
        <v>7</v>
      </c>
      <c r="C508" s="400" t="s">
        <v>317</v>
      </c>
      <c r="D508" s="504">
        <v>54.72</v>
      </c>
      <c r="F508" s="88"/>
    </row>
    <row r="509" spans="1:5" ht="12.75">
      <c r="A509" s="578" t="s">
        <v>3</v>
      </c>
      <c r="B509" s="579"/>
      <c r="C509" s="580"/>
      <c r="D509" s="441">
        <f>SUM(D505:D508)</f>
        <v>136.79</v>
      </c>
      <c r="E509" s="41"/>
    </row>
    <row r="510" ht="7.5" customHeight="1"/>
    <row r="511" spans="1:7" ht="12.75">
      <c r="A511" s="13" t="s">
        <v>163</v>
      </c>
      <c r="G511" s="194"/>
    </row>
    <row r="512" spans="1:7" ht="30" customHeight="1">
      <c r="A512" s="505" t="s">
        <v>32</v>
      </c>
      <c r="B512" s="506" t="s">
        <v>293</v>
      </c>
      <c r="C512" s="507" t="s">
        <v>51</v>
      </c>
      <c r="D512" s="507" t="s">
        <v>52</v>
      </c>
      <c r="E512" s="507" t="s">
        <v>30</v>
      </c>
      <c r="F512" s="507" t="s">
        <v>31</v>
      </c>
      <c r="G512" s="194"/>
    </row>
    <row r="513" spans="1:7" s="18" customFormat="1" ht="13.5" customHeight="1">
      <c r="A513" s="291">
        <v>1</v>
      </c>
      <c r="B513" s="291">
        <v>2</v>
      </c>
      <c r="C513" s="291">
        <v>3</v>
      </c>
      <c r="D513" s="291">
        <v>4</v>
      </c>
      <c r="E513" s="291" t="s">
        <v>57</v>
      </c>
      <c r="F513" s="291">
        <v>6</v>
      </c>
      <c r="G513" s="206"/>
    </row>
    <row r="514" spans="1:7" ht="27" customHeight="1">
      <c r="A514" s="34">
        <v>1</v>
      </c>
      <c r="B514" s="249" t="s">
        <v>276</v>
      </c>
      <c r="C514" s="508">
        <v>137.39</v>
      </c>
      <c r="D514" s="508">
        <v>136.43</v>
      </c>
      <c r="E514" s="509">
        <f>D514-C514</f>
        <v>-0.9599999999999795</v>
      </c>
      <c r="F514" s="510">
        <v>0</v>
      </c>
      <c r="G514" s="194"/>
    </row>
    <row r="515" spans="1:7" ht="38.25">
      <c r="A515" s="34">
        <v>2</v>
      </c>
      <c r="B515" s="249" t="s">
        <v>324</v>
      </c>
      <c r="C515" s="335">
        <v>0.36</v>
      </c>
      <c r="D515" s="335">
        <v>0.36</v>
      </c>
      <c r="E515" s="509">
        <f>D515-C515</f>
        <v>0</v>
      </c>
      <c r="F515" s="428">
        <v>0</v>
      </c>
      <c r="G515" s="194"/>
    </row>
    <row r="516" spans="1:7" ht="25.5">
      <c r="A516" s="34">
        <v>3</v>
      </c>
      <c r="B516" s="249" t="s">
        <v>289</v>
      </c>
      <c r="C516" s="335">
        <v>136.43</v>
      </c>
      <c r="D516" s="335">
        <v>136.43</v>
      </c>
      <c r="E516" s="509">
        <f>D516-C516</f>
        <v>0</v>
      </c>
      <c r="F516" s="428">
        <f>E516/C516</f>
        <v>0</v>
      </c>
      <c r="G516" s="194"/>
    </row>
    <row r="517" spans="1:7" ht="15.75" customHeight="1">
      <c r="A517" s="511">
        <v>4</v>
      </c>
      <c r="B517" s="512" t="s">
        <v>67</v>
      </c>
      <c r="C517" s="513">
        <f>C515+C516</f>
        <v>136.79000000000002</v>
      </c>
      <c r="D517" s="513">
        <f>D515+D516</f>
        <v>136.79000000000002</v>
      </c>
      <c r="E517" s="514">
        <f>D517-C517</f>
        <v>0</v>
      </c>
      <c r="F517" s="515">
        <f>E517/C517</f>
        <v>0</v>
      </c>
      <c r="G517" s="194"/>
    </row>
    <row r="518" spans="1:6" ht="15.75" customHeight="1">
      <c r="A518" s="31"/>
      <c r="B518" s="70"/>
      <c r="C518" s="71"/>
      <c r="D518" s="71"/>
      <c r="E518" s="110"/>
      <c r="F518" s="36"/>
    </row>
    <row r="519" spans="1:8" s="109" customFormat="1" ht="12.75">
      <c r="A519" s="13" t="s">
        <v>294</v>
      </c>
      <c r="B519" s="4"/>
      <c r="C519" s="4"/>
      <c r="D519" s="4"/>
      <c r="E519" s="4"/>
      <c r="F519" s="4"/>
      <c r="G519" s="4"/>
      <c r="H519" s="4"/>
    </row>
    <row r="520" spans="4:8" ht="12.75">
      <c r="D520" s="361" t="s">
        <v>10</v>
      </c>
      <c r="F520" s="516"/>
      <c r="G520" s="566" t="s">
        <v>339</v>
      </c>
      <c r="H520" s="566"/>
    </row>
    <row r="521" spans="1:8" ht="51">
      <c r="A521" s="87" t="s">
        <v>291</v>
      </c>
      <c r="B521" s="87" t="s">
        <v>71</v>
      </c>
      <c r="C521" s="87" t="s">
        <v>72</v>
      </c>
      <c r="D521" s="87" t="s">
        <v>73</v>
      </c>
      <c r="E521" s="87" t="s">
        <v>74</v>
      </c>
      <c r="F521" s="87" t="s">
        <v>30</v>
      </c>
      <c r="G521" s="87" t="s">
        <v>63</v>
      </c>
      <c r="H521" s="87" t="s">
        <v>209</v>
      </c>
    </row>
    <row r="522" spans="1:8" s="18" customFormat="1" ht="12.75">
      <c r="A522" s="517">
        <v>1</v>
      </c>
      <c r="B522" s="517">
        <v>2</v>
      </c>
      <c r="C522" s="517">
        <v>3</v>
      </c>
      <c r="D522" s="517">
        <v>4</v>
      </c>
      <c r="E522" s="517">
        <v>5</v>
      </c>
      <c r="F522" s="517" t="s">
        <v>75</v>
      </c>
      <c r="G522" s="517">
        <v>7</v>
      </c>
      <c r="H522" s="518" t="s">
        <v>76</v>
      </c>
    </row>
    <row r="523" spans="1:8" s="111" customFormat="1" ht="18" customHeight="1">
      <c r="A523" s="519">
        <v>136.79</v>
      </c>
      <c r="B523" s="519">
        <f>$C$517</f>
        <v>136.79000000000002</v>
      </c>
      <c r="C523" s="502">
        <f>E209</f>
        <v>3445.74</v>
      </c>
      <c r="D523" s="502">
        <f>C523*3970/100000</f>
        <v>136.795878</v>
      </c>
      <c r="E523" s="520">
        <v>136.43</v>
      </c>
      <c r="F523" s="502">
        <f>E523-D523</f>
        <v>-0.36587799999998083</v>
      </c>
      <c r="G523" s="501">
        <f>E523/A523</f>
        <v>0.9973682286716866</v>
      </c>
      <c r="H523" s="502">
        <f>B523-E523</f>
        <v>0.36000000000001364</v>
      </c>
    </row>
    <row r="524" spans="1:8" ht="12.75" customHeight="1">
      <c r="A524" s="221"/>
      <c r="B524" s="215"/>
      <c r="C524" s="219"/>
      <c r="D524" s="219"/>
      <c r="E524" s="220"/>
      <c r="F524" s="216"/>
      <c r="G524" s="217"/>
      <c r="H524" s="194"/>
    </row>
    <row r="525" spans="1:6" ht="12.75">
      <c r="A525" s="112" t="s">
        <v>295</v>
      </c>
      <c r="B525" s="113"/>
      <c r="C525" s="113"/>
      <c r="D525" s="113"/>
      <c r="E525" s="113"/>
      <c r="F525" s="113"/>
    </row>
    <row r="526" spans="1:12" ht="11.25" customHeight="1" thickBot="1">
      <c r="A526" s="13"/>
      <c r="J526" s="4">
        <v>7997</v>
      </c>
      <c r="K526" s="4">
        <v>33498</v>
      </c>
      <c r="L526" s="4">
        <f>SUM(J526:K526)</f>
        <v>41495</v>
      </c>
    </row>
    <row r="527" spans="1:11" ht="15.75" customHeight="1" thickBot="1">
      <c r="A527" s="114" t="s">
        <v>171</v>
      </c>
      <c r="B527" s="113"/>
      <c r="C527" s="113"/>
      <c r="J527" s="115"/>
      <c r="K527" s="116"/>
    </row>
    <row r="528" spans="1:11" ht="13.5" customHeight="1" thickBot="1">
      <c r="A528" s="13"/>
      <c r="I528" s="4">
        <f>874+300</f>
        <v>1174</v>
      </c>
      <c r="J528" s="117"/>
      <c r="K528" s="118"/>
    </row>
    <row r="529" spans="1:6" ht="13.5" customHeight="1">
      <c r="A529" s="54" t="s">
        <v>164</v>
      </c>
      <c r="B529" s="119"/>
      <c r="C529" s="119"/>
      <c r="D529" s="119"/>
      <c r="E529" s="119"/>
      <c r="F529" s="119"/>
    </row>
    <row r="530" spans="1:5" ht="12.75">
      <c r="A530" s="584" t="s">
        <v>326</v>
      </c>
      <c r="B530" s="584"/>
      <c r="C530" s="584"/>
      <c r="D530" s="584"/>
      <c r="E530" s="584"/>
    </row>
    <row r="531" spans="1:7" ht="25.5">
      <c r="A531" s="521" t="s">
        <v>16</v>
      </c>
      <c r="B531" s="521" t="s">
        <v>8</v>
      </c>
      <c r="C531" s="521" t="s">
        <v>21</v>
      </c>
      <c r="D531" s="521" t="s">
        <v>253</v>
      </c>
      <c r="G531" s="88"/>
    </row>
    <row r="532" spans="1:7" ht="13.5" customHeight="1">
      <c r="A532" s="563" t="s">
        <v>69</v>
      </c>
      <c r="B532" s="34" t="s">
        <v>109</v>
      </c>
      <c r="C532" s="522">
        <v>611</v>
      </c>
      <c r="D532" s="522">
        <v>366.85</v>
      </c>
      <c r="G532" s="95"/>
    </row>
    <row r="533" spans="1:7" ht="13.5" customHeight="1">
      <c r="A533" s="564"/>
      <c r="B533" s="34" t="s">
        <v>0</v>
      </c>
      <c r="C533" s="522">
        <v>21</v>
      </c>
      <c r="D533" s="522">
        <v>12.6</v>
      </c>
      <c r="G533" s="95"/>
    </row>
    <row r="534" spans="1:7" ht="13.5" customHeight="1">
      <c r="A534" s="564"/>
      <c r="B534" s="34" t="s">
        <v>13</v>
      </c>
      <c r="C534" s="522">
        <v>901</v>
      </c>
      <c r="D534" s="522">
        <v>540.6</v>
      </c>
      <c r="G534" s="95"/>
    </row>
    <row r="535" spans="1:7" ht="13.5" customHeight="1">
      <c r="A535" s="564"/>
      <c r="B535" s="34" t="s">
        <v>70</v>
      </c>
      <c r="C535" s="522">
        <v>0</v>
      </c>
      <c r="D535" s="522">
        <v>0</v>
      </c>
      <c r="G535" s="95"/>
    </row>
    <row r="536" spans="1:7" ht="13.5" customHeight="1">
      <c r="A536" s="564"/>
      <c r="B536" s="34" t="s">
        <v>143</v>
      </c>
      <c r="C536" s="522">
        <v>0</v>
      </c>
      <c r="D536" s="522">
        <v>0</v>
      </c>
      <c r="G536" s="95"/>
    </row>
    <row r="537" spans="1:7" ht="13.5" customHeight="1">
      <c r="A537" s="564"/>
      <c r="B537" s="34" t="s">
        <v>144</v>
      </c>
      <c r="C537" s="522">
        <v>863</v>
      </c>
      <c r="D537" s="522">
        <v>1703.7</v>
      </c>
      <c r="G537" s="95"/>
    </row>
    <row r="538" spans="1:7" ht="13.5" customHeight="1">
      <c r="A538" s="564"/>
      <c r="B538" s="34" t="s">
        <v>183</v>
      </c>
      <c r="C538" s="522">
        <v>0</v>
      </c>
      <c r="D538" s="522">
        <v>0</v>
      </c>
      <c r="G538" s="95"/>
    </row>
    <row r="539" spans="1:7" ht="13.5" customHeight="1">
      <c r="A539" s="564"/>
      <c r="B539" s="34" t="s">
        <v>206</v>
      </c>
      <c r="C539" s="522">
        <v>0</v>
      </c>
      <c r="D539" s="522">
        <v>0</v>
      </c>
      <c r="G539" s="95"/>
    </row>
    <row r="540" spans="1:7" ht="13.5" customHeight="1">
      <c r="A540" s="564"/>
      <c r="B540" s="34" t="s">
        <v>251</v>
      </c>
      <c r="C540" s="522">
        <v>110</v>
      </c>
      <c r="D540" s="522">
        <v>346.5</v>
      </c>
      <c r="G540" s="95"/>
    </row>
    <row r="541" spans="1:7" ht="13.5" customHeight="1">
      <c r="A541" s="564"/>
      <c r="B541" s="34" t="s">
        <v>252</v>
      </c>
      <c r="C541" s="522">
        <v>0</v>
      </c>
      <c r="D541" s="522">
        <v>0</v>
      </c>
      <c r="G541" s="95"/>
    </row>
    <row r="542" spans="1:7" ht="13.5" customHeight="1">
      <c r="A542" s="564"/>
      <c r="B542" s="34" t="s">
        <v>325</v>
      </c>
      <c r="C542" s="522">
        <v>0</v>
      </c>
      <c r="D542" s="522">
        <v>0</v>
      </c>
      <c r="G542" s="95"/>
    </row>
    <row r="543" spans="1:7" ht="13.5" customHeight="1">
      <c r="A543" s="564"/>
      <c r="B543" s="401" t="s">
        <v>296</v>
      </c>
      <c r="C543" s="522">
        <v>0</v>
      </c>
      <c r="D543" s="522">
        <v>0</v>
      </c>
      <c r="G543" s="95"/>
    </row>
    <row r="544" spans="1:7" ht="15.75" customHeight="1">
      <c r="A544" s="565"/>
      <c r="B544" s="523" t="s">
        <v>20</v>
      </c>
      <c r="C544" s="524">
        <f>SUM(C532:C543)</f>
        <v>2506</v>
      </c>
      <c r="D544" s="525">
        <f>SUM(D532:D543)</f>
        <v>2970.25</v>
      </c>
      <c r="G544" s="22"/>
    </row>
    <row r="545" spans="1:7" ht="42.75" customHeight="1">
      <c r="A545" s="582" t="s">
        <v>255</v>
      </c>
      <c r="B545" s="582"/>
      <c r="C545" s="582"/>
      <c r="D545" s="582"/>
      <c r="E545" s="582"/>
      <c r="G545" s="22"/>
    </row>
    <row r="546" spans="1:7" ht="15.75" customHeight="1">
      <c r="A546" s="526"/>
      <c r="G546" s="22"/>
    </row>
    <row r="547" spans="1:7" ht="5.25" customHeight="1">
      <c r="A547" s="35"/>
      <c r="B547" s="35"/>
      <c r="C547" s="22"/>
      <c r="D547" s="70"/>
      <c r="E547" s="70"/>
      <c r="G547" s="22"/>
    </row>
    <row r="548" ht="12.75">
      <c r="A548" s="13" t="s">
        <v>165</v>
      </c>
    </row>
    <row r="549" spans="1:7" ht="12.75">
      <c r="A549" s="574" t="s">
        <v>12</v>
      </c>
      <c r="B549" s="576" t="s">
        <v>23</v>
      </c>
      <c r="C549" s="577"/>
      <c r="D549" s="604" t="s">
        <v>25</v>
      </c>
      <c r="E549" s="604"/>
      <c r="F549" s="604" t="s">
        <v>22</v>
      </c>
      <c r="G549" s="604"/>
    </row>
    <row r="550" spans="1:7" ht="12.75">
      <c r="A550" s="575"/>
      <c r="B550" s="527" t="s">
        <v>5</v>
      </c>
      <c r="C550" s="528" t="s">
        <v>24</v>
      </c>
      <c r="D550" s="511" t="s">
        <v>5</v>
      </c>
      <c r="E550" s="511" t="s">
        <v>24</v>
      </c>
      <c r="F550" s="511" t="s">
        <v>5</v>
      </c>
      <c r="G550" s="511" t="s">
        <v>24</v>
      </c>
    </row>
    <row r="551" spans="1:7" ht="24.75" customHeight="1">
      <c r="A551" s="92" t="s">
        <v>297</v>
      </c>
      <c r="B551" s="529">
        <f>C544</f>
        <v>2506</v>
      </c>
      <c r="C551" s="530">
        <f>D544</f>
        <v>2970.25</v>
      </c>
      <c r="D551" s="294">
        <v>2396</v>
      </c>
      <c r="E551" s="530">
        <v>2623.4966</v>
      </c>
      <c r="F551" s="531">
        <v>0</v>
      </c>
      <c r="G551" s="531">
        <v>0</v>
      </c>
    </row>
    <row r="552" spans="1:4" ht="20.25" customHeight="1">
      <c r="A552" s="22"/>
      <c r="B552" s="22"/>
      <c r="C552" s="22"/>
      <c r="D552" s="22"/>
    </row>
    <row r="553" spans="1:7" ht="12.75">
      <c r="A553" s="13" t="s">
        <v>269</v>
      </c>
      <c r="G553" s="194"/>
    </row>
    <row r="554" spans="1:7" ht="36" customHeight="1">
      <c r="A554" s="583" t="s">
        <v>298</v>
      </c>
      <c r="B554" s="583"/>
      <c r="C554" s="583" t="s">
        <v>327</v>
      </c>
      <c r="D554" s="583"/>
      <c r="E554" s="583" t="s">
        <v>4</v>
      </c>
      <c r="F554" s="583"/>
      <c r="G554" s="194"/>
    </row>
    <row r="555" spans="1:7" ht="12.75">
      <c r="A555" s="399" t="s">
        <v>5</v>
      </c>
      <c r="B555" s="399" t="s">
        <v>15</v>
      </c>
      <c r="C555" s="399" t="s">
        <v>5</v>
      </c>
      <c r="D555" s="399" t="s">
        <v>15</v>
      </c>
      <c r="E555" s="399" t="s">
        <v>5</v>
      </c>
      <c r="F555" s="399" t="s">
        <v>11</v>
      </c>
      <c r="G555" s="194"/>
    </row>
    <row r="556" spans="1:7" s="18" customFormat="1" ht="12.75">
      <c r="A556" s="532">
        <v>1</v>
      </c>
      <c r="B556" s="532">
        <v>2</v>
      </c>
      <c r="C556" s="532">
        <v>3</v>
      </c>
      <c r="D556" s="532">
        <v>4</v>
      </c>
      <c r="E556" s="532">
        <v>5</v>
      </c>
      <c r="F556" s="532">
        <v>6</v>
      </c>
      <c r="G556" s="206"/>
    </row>
    <row r="557" spans="1:7" ht="15.75" customHeight="1">
      <c r="A557" s="529">
        <f>B551</f>
        <v>2506</v>
      </c>
      <c r="B557" s="530">
        <f>C551</f>
        <v>2970.25</v>
      </c>
      <c r="C557" s="529">
        <f>2396+110</f>
        <v>2506</v>
      </c>
      <c r="D557" s="529">
        <f>2623.5+346.5</f>
        <v>2970</v>
      </c>
      <c r="E557" s="533">
        <f>C557/A557</f>
        <v>1</v>
      </c>
      <c r="F557" s="533">
        <f>D557/B557</f>
        <v>0.9999158320006734</v>
      </c>
      <c r="G557" s="194"/>
    </row>
    <row r="558" spans="1:7" ht="12.75" customHeight="1">
      <c r="A558" s="73"/>
      <c r="B558" s="74"/>
      <c r="C558" s="367"/>
      <c r="D558" s="367"/>
      <c r="E558" s="368"/>
      <c r="F558" s="77"/>
      <c r="G558" s="217" t="s">
        <v>107</v>
      </c>
    </row>
    <row r="559" spans="1:3" ht="12.75">
      <c r="A559" s="114" t="s">
        <v>167</v>
      </c>
      <c r="B559" s="113"/>
      <c r="C559" s="113"/>
    </row>
    <row r="560" ht="6.75" customHeight="1">
      <c r="A560" s="13"/>
    </row>
    <row r="561" spans="1:7" ht="9" customHeight="1">
      <c r="A561" s="123" t="s">
        <v>166</v>
      </c>
      <c r="B561" s="126"/>
      <c r="C561" s="126"/>
      <c r="D561" s="126"/>
      <c r="E561" s="126"/>
      <c r="F561" s="126"/>
      <c r="G561" s="126"/>
    </row>
    <row r="562" spans="1:7" ht="6.75" customHeight="1">
      <c r="A562" s="130"/>
      <c r="B562" s="131"/>
      <c r="C562" s="132"/>
      <c r="D562" s="132"/>
      <c r="E562" s="132"/>
      <c r="F562" s="132"/>
      <c r="G562" s="126"/>
    </row>
    <row r="563" spans="1:7" ht="12.75">
      <c r="A563" s="581" t="s">
        <v>328</v>
      </c>
      <c r="B563" s="581"/>
      <c r="C563" s="581"/>
      <c r="D563" s="581"/>
      <c r="F563" s="126"/>
      <c r="G563" s="126"/>
    </row>
    <row r="564" spans="1:7" ht="12.75">
      <c r="A564" s="250"/>
      <c r="B564" s="250"/>
      <c r="C564" s="613" t="s">
        <v>329</v>
      </c>
      <c r="D564" s="614"/>
      <c r="E564" s="615" t="s">
        <v>330</v>
      </c>
      <c r="F564" s="616"/>
      <c r="G564" s="209"/>
    </row>
    <row r="565" spans="1:7" ht="25.5">
      <c r="A565" s="495" t="s">
        <v>16</v>
      </c>
      <c r="B565" s="495" t="s">
        <v>8</v>
      </c>
      <c r="C565" s="495" t="s">
        <v>21</v>
      </c>
      <c r="D565" s="495" t="s">
        <v>254</v>
      </c>
      <c r="E565" s="534" t="s">
        <v>21</v>
      </c>
      <c r="F565" s="535" t="s">
        <v>254</v>
      </c>
      <c r="G565" s="227"/>
    </row>
    <row r="566" spans="1:7" s="48" customFormat="1" ht="13.5" customHeight="1">
      <c r="A566" s="573" t="s">
        <v>153</v>
      </c>
      <c r="B566" s="504" t="s">
        <v>110</v>
      </c>
      <c r="C566" s="504">
        <v>727</v>
      </c>
      <c r="D566" s="504">
        <v>36.34</v>
      </c>
      <c r="E566" s="426">
        <v>0</v>
      </c>
      <c r="F566" s="426">
        <v>0</v>
      </c>
      <c r="G566" s="228"/>
    </row>
    <row r="567" spans="1:7" s="48" customFormat="1" ht="13.5" customHeight="1">
      <c r="A567" s="573"/>
      <c r="B567" s="504" t="s">
        <v>0</v>
      </c>
      <c r="C567" s="536">
        <v>567</v>
      </c>
      <c r="D567" s="351">
        <v>28.35</v>
      </c>
      <c r="E567" s="426">
        <v>0</v>
      </c>
      <c r="F567" s="426">
        <v>0</v>
      </c>
      <c r="G567" s="228"/>
    </row>
    <row r="568" spans="1:7" s="48" customFormat="1" ht="15.75" customHeight="1">
      <c r="A568" s="573"/>
      <c r="B568" s="504" t="s">
        <v>143</v>
      </c>
      <c r="C568" s="536">
        <v>1134</v>
      </c>
      <c r="D568" s="351">
        <v>56.7</v>
      </c>
      <c r="E568" s="426">
        <v>0</v>
      </c>
      <c r="F568" s="426">
        <v>0</v>
      </c>
      <c r="G568" s="218"/>
    </row>
    <row r="569" spans="1:7" s="48" customFormat="1" ht="15.75" customHeight="1">
      <c r="A569" s="573"/>
      <c r="B569" s="504" t="s">
        <v>183</v>
      </c>
      <c r="C569" s="536">
        <v>0</v>
      </c>
      <c r="D569" s="351">
        <v>0</v>
      </c>
      <c r="E569" s="426">
        <v>608</v>
      </c>
      <c r="F569" s="426">
        <v>30.4</v>
      </c>
      <c r="G569" s="218"/>
    </row>
    <row r="570" spans="1:7" s="48" customFormat="1" ht="15.75" customHeight="1">
      <c r="A570" s="537"/>
      <c r="B570" s="504" t="s">
        <v>206</v>
      </c>
      <c r="C570" s="536">
        <v>0</v>
      </c>
      <c r="D570" s="351">
        <v>0</v>
      </c>
      <c r="E570" s="426">
        <v>567</v>
      </c>
      <c r="F570" s="426">
        <v>28.35</v>
      </c>
      <c r="G570" s="218"/>
    </row>
    <row r="571" spans="1:7" s="48" customFormat="1" ht="15.75" customHeight="1">
      <c r="A571" s="537"/>
      <c r="B571" s="504" t="s">
        <v>325</v>
      </c>
      <c r="C571" s="536">
        <v>0</v>
      </c>
      <c r="D571" s="351"/>
      <c r="E571" s="426">
        <v>1134</v>
      </c>
      <c r="F571" s="426">
        <v>56.7</v>
      </c>
      <c r="G571" s="218"/>
    </row>
    <row r="572" spans="1:7" s="48" customFormat="1" ht="15.75" customHeight="1">
      <c r="A572" s="537"/>
      <c r="B572" s="504" t="s">
        <v>296</v>
      </c>
      <c r="C572" s="536">
        <v>120</v>
      </c>
      <c r="D572" s="351">
        <v>60</v>
      </c>
      <c r="E572" s="426"/>
      <c r="F572" s="426"/>
      <c r="G572" s="218"/>
    </row>
    <row r="573" spans="1:7" s="48" customFormat="1" ht="15.75" customHeight="1">
      <c r="A573" s="537"/>
      <c r="B573" s="504" t="s">
        <v>333</v>
      </c>
      <c r="C573" s="536"/>
      <c r="D573" s="351"/>
      <c r="E573" s="426"/>
      <c r="F573" s="426"/>
      <c r="G573" s="218"/>
    </row>
    <row r="574" spans="1:7" s="48" customFormat="1" ht="14.25" customHeight="1">
      <c r="A574" s="538"/>
      <c r="B574" s="538" t="s">
        <v>20</v>
      </c>
      <c r="C574" s="504">
        <f>SUM(C566:C572)</f>
        <v>2548</v>
      </c>
      <c r="D574" s="504">
        <f>SUM(D566:D572)</f>
        <v>181.39</v>
      </c>
      <c r="E574" s="426">
        <f>SUM(E566:E572)</f>
        <v>2309</v>
      </c>
      <c r="F574" s="426">
        <v>145.85</v>
      </c>
      <c r="G574" s="218"/>
    </row>
    <row r="575" spans="1:7" ht="14.25" customHeight="1">
      <c r="A575" s="126"/>
      <c r="B575" s="126"/>
      <c r="C575" s="126"/>
      <c r="D575" s="126"/>
      <c r="E575" s="126"/>
      <c r="F575" s="126"/>
      <c r="G575" s="126"/>
    </row>
    <row r="576" spans="1:7" ht="12.75">
      <c r="A576" s="122" t="s">
        <v>177</v>
      </c>
      <c r="B576" s="126"/>
      <c r="C576" s="126"/>
      <c r="D576" s="126"/>
      <c r="E576" s="126"/>
      <c r="F576" s="126"/>
      <c r="G576" s="126"/>
    </row>
    <row r="577" spans="1:7" ht="12.75">
      <c r="A577" s="598" t="s">
        <v>12</v>
      </c>
      <c r="B577" s="600" t="s">
        <v>23</v>
      </c>
      <c r="C577" s="601"/>
      <c r="D577" s="605" t="s">
        <v>154</v>
      </c>
      <c r="E577" s="605"/>
      <c r="F577" s="605" t="s">
        <v>22</v>
      </c>
      <c r="G577" s="605"/>
    </row>
    <row r="578" spans="1:7" ht="12.75">
      <c r="A578" s="599"/>
      <c r="B578" s="539" t="s">
        <v>5</v>
      </c>
      <c r="C578" s="540" t="s">
        <v>24</v>
      </c>
      <c r="D578" s="541" t="s">
        <v>5</v>
      </c>
      <c r="E578" s="541" t="s">
        <v>24</v>
      </c>
      <c r="F578" s="541" t="s">
        <v>5</v>
      </c>
      <c r="G578" s="541" t="s">
        <v>24</v>
      </c>
    </row>
    <row r="579" spans="1:7" s="48" customFormat="1" ht="25.5">
      <c r="A579" s="92" t="s">
        <v>297</v>
      </c>
      <c r="B579" s="542">
        <f>C574+E574</f>
        <v>4857</v>
      </c>
      <c r="C579" s="543">
        <f>D574+F574</f>
        <v>327.24</v>
      </c>
      <c r="D579" s="542">
        <v>4857</v>
      </c>
      <c r="E579" s="543">
        <v>327.24</v>
      </c>
      <c r="F579" s="475">
        <f>D579/B579</f>
        <v>1</v>
      </c>
      <c r="G579" s="475">
        <f>E579/C579</f>
        <v>1</v>
      </c>
    </row>
    <row r="580" spans="1:7" ht="14.25" customHeight="1">
      <c r="A580" s="126"/>
      <c r="B580" s="126"/>
      <c r="C580" s="126"/>
      <c r="D580" s="126"/>
      <c r="E580" s="126"/>
      <c r="F580" s="126"/>
      <c r="G580" s="126"/>
    </row>
    <row r="581" spans="1:7" ht="12.75">
      <c r="A581" s="122" t="s">
        <v>270</v>
      </c>
      <c r="B581" s="126"/>
      <c r="C581" s="126"/>
      <c r="D581" s="126"/>
      <c r="E581" s="126"/>
      <c r="F581" s="126"/>
      <c r="G581" s="126"/>
    </row>
    <row r="582" spans="1:7" ht="37.5" customHeight="1">
      <c r="A582" s="597" t="s">
        <v>299</v>
      </c>
      <c r="B582" s="597"/>
      <c r="C582" s="597" t="s">
        <v>327</v>
      </c>
      <c r="D582" s="597"/>
      <c r="E582" s="597" t="s">
        <v>4</v>
      </c>
      <c r="F582" s="597"/>
      <c r="G582" s="126"/>
    </row>
    <row r="583" spans="1:7" ht="12.75">
      <c r="A583" s="544" t="s">
        <v>5</v>
      </c>
      <c r="B583" s="544" t="s">
        <v>15</v>
      </c>
      <c r="C583" s="544" t="s">
        <v>5</v>
      </c>
      <c r="D583" s="544" t="s">
        <v>15</v>
      </c>
      <c r="E583" s="544" t="s">
        <v>5</v>
      </c>
      <c r="F583" s="544" t="s">
        <v>11</v>
      </c>
      <c r="G583" s="126"/>
    </row>
    <row r="584" spans="1:7" s="18" customFormat="1" ht="12.75">
      <c r="A584" s="496">
        <v>1</v>
      </c>
      <c r="B584" s="496">
        <v>2</v>
      </c>
      <c r="C584" s="496">
        <v>3</v>
      </c>
      <c r="D584" s="496">
        <v>4</v>
      </c>
      <c r="E584" s="496">
        <v>5</v>
      </c>
      <c r="F584" s="496">
        <v>6</v>
      </c>
      <c r="G584" s="127"/>
    </row>
    <row r="585" spans="1:7" s="48" customFormat="1" ht="15.75" customHeight="1">
      <c r="A585" s="545">
        <v>4857</v>
      </c>
      <c r="B585" s="546">
        <v>327.54</v>
      </c>
      <c r="C585" s="545">
        <v>4857</v>
      </c>
      <c r="D585" s="546">
        <v>327.58</v>
      </c>
      <c r="E585" s="474">
        <f>C585/A585</f>
        <v>1</v>
      </c>
      <c r="F585" s="474">
        <f>D585/B585</f>
        <v>1.0001221224888561</v>
      </c>
      <c r="G585" s="48" t="s">
        <v>107</v>
      </c>
    </row>
    <row r="586" spans="1:7" ht="12.75" customHeight="1">
      <c r="A586" s="73"/>
      <c r="B586" s="74"/>
      <c r="C586" s="367"/>
      <c r="D586" s="367"/>
      <c r="E586" s="368"/>
      <c r="F586" s="77"/>
      <c r="G586" s="78"/>
    </row>
  </sheetData>
  <sheetProtection/>
  <mergeCells count="88">
    <mergeCell ref="F577:G577"/>
    <mergeCell ref="A1:H1"/>
    <mergeCell ref="A2:H2"/>
    <mergeCell ref="A3:H3"/>
    <mergeCell ref="A5:H5"/>
    <mergeCell ref="E479:G479"/>
    <mergeCell ref="A464:A467"/>
    <mergeCell ref="C483:C484"/>
    <mergeCell ref="D483:D484"/>
    <mergeCell ref="A105:H105"/>
    <mergeCell ref="C564:D564"/>
    <mergeCell ref="E564:F564"/>
    <mergeCell ref="A77:H77"/>
    <mergeCell ref="A119:H119"/>
    <mergeCell ref="E483:E484"/>
    <mergeCell ref="F483:F484"/>
    <mergeCell ref="G483:G484"/>
    <mergeCell ref="A31:D31"/>
    <mergeCell ref="A60:H60"/>
    <mergeCell ref="A37:F37"/>
    <mergeCell ref="A46:D46"/>
    <mergeCell ref="A91:H91"/>
    <mergeCell ref="A7:H7"/>
    <mergeCell ref="A9:H9"/>
    <mergeCell ref="A74:C74"/>
    <mergeCell ref="A30:D30"/>
    <mergeCell ref="A47:H47"/>
    <mergeCell ref="E582:F582"/>
    <mergeCell ref="A577:A578"/>
    <mergeCell ref="B577:C577"/>
    <mergeCell ref="C582:D582"/>
    <mergeCell ref="A582:B582"/>
    <mergeCell ref="A485:B485"/>
    <mergeCell ref="A502:D502"/>
    <mergeCell ref="F549:G549"/>
    <mergeCell ref="D549:E549"/>
    <mergeCell ref="D577:E577"/>
    <mergeCell ref="A44:D44"/>
    <mergeCell ref="A265:D265"/>
    <mergeCell ref="A277:C277"/>
    <mergeCell ref="A272:A276"/>
    <mergeCell ref="A554:B554"/>
    <mergeCell ref="A461:D461"/>
    <mergeCell ref="A432:F432"/>
    <mergeCell ref="A267:A271"/>
    <mergeCell ref="B276:C276"/>
    <mergeCell ref="A566:A569"/>
    <mergeCell ref="A549:A550"/>
    <mergeCell ref="B549:C549"/>
    <mergeCell ref="A505:A507"/>
    <mergeCell ref="A509:C509"/>
    <mergeCell ref="A563:D563"/>
    <mergeCell ref="A545:E545"/>
    <mergeCell ref="E554:F554"/>
    <mergeCell ref="C554:D554"/>
    <mergeCell ref="A530:E530"/>
    <mergeCell ref="I180:K180"/>
    <mergeCell ref="I219:K219"/>
    <mergeCell ref="A532:A544"/>
    <mergeCell ref="G520:H520"/>
    <mergeCell ref="A477:E477"/>
    <mergeCell ref="B271:C271"/>
    <mergeCell ref="A468:C468"/>
    <mergeCell ref="I287:K287"/>
    <mergeCell ref="J47:L47"/>
    <mergeCell ref="I136:K136"/>
    <mergeCell ref="M136:O136"/>
    <mergeCell ref="I166:K166"/>
    <mergeCell ref="L166:N166"/>
    <mergeCell ref="O166:Q166"/>
    <mergeCell ref="L287:N287"/>
    <mergeCell ref="I301:K301"/>
    <mergeCell ref="I326:K326"/>
    <mergeCell ref="I406:K406"/>
    <mergeCell ref="L406:N406"/>
    <mergeCell ref="L389:L390"/>
    <mergeCell ref="I346:K346"/>
    <mergeCell ref="K389:K390"/>
    <mergeCell ref="O406:Q406"/>
    <mergeCell ref="I376:J376"/>
    <mergeCell ref="K376:L376"/>
    <mergeCell ref="M376:N376"/>
    <mergeCell ref="I420:K420"/>
    <mergeCell ref="I434:K434"/>
    <mergeCell ref="N389:N390"/>
    <mergeCell ref="M389:M390"/>
    <mergeCell ref="I389:I390"/>
    <mergeCell ref="J389:J39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1" r:id="rId2"/>
  <rowBreaks count="8" manualBreakCount="8">
    <brk id="42" max="7" man="1"/>
    <brk id="104" max="7" man="1"/>
    <brk id="159" max="7" man="1"/>
    <brk id="234" max="7" man="1"/>
    <brk id="311" max="7" man="1"/>
    <brk id="372" max="7" man="1"/>
    <brk id="444" max="7" man="1"/>
    <brk id="5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M35"/>
  <sheetViews>
    <sheetView zoomScalePageLayoutView="0" workbookViewId="0" topLeftCell="A13">
      <selection activeCell="G34" sqref="G34:G35"/>
    </sheetView>
  </sheetViews>
  <sheetFormatPr defaultColWidth="9.140625" defaultRowHeight="12.75"/>
  <cols>
    <col min="5" max="5" width="15.421875" style="0" customWidth="1"/>
    <col min="6" max="6" width="18.8515625" style="0" customWidth="1"/>
    <col min="7" max="7" width="16.00390625" style="0" customWidth="1"/>
    <col min="8" max="8" width="17.140625" style="0" customWidth="1"/>
  </cols>
  <sheetData>
    <row r="11" spans="3:8" ht="15.75">
      <c r="C11" s="638" t="s">
        <v>89</v>
      </c>
      <c r="D11" s="638" t="s">
        <v>184</v>
      </c>
      <c r="E11" s="639" t="s">
        <v>185</v>
      </c>
      <c r="F11" s="639"/>
      <c r="G11" s="639"/>
      <c r="H11" s="639"/>
    </row>
    <row r="12" spans="3:8" ht="31.5" customHeight="1">
      <c r="C12" s="638"/>
      <c r="D12" s="638"/>
      <c r="E12" s="639" t="s">
        <v>186</v>
      </c>
      <c r="F12" s="639"/>
      <c r="G12" s="639" t="s">
        <v>187</v>
      </c>
      <c r="H12" s="639"/>
    </row>
    <row r="13" spans="3:8" ht="15.75">
      <c r="C13" s="638"/>
      <c r="D13" s="638"/>
      <c r="E13" s="3" t="s">
        <v>188</v>
      </c>
      <c r="F13" s="3" t="s">
        <v>189</v>
      </c>
      <c r="G13" s="3" t="s">
        <v>188</v>
      </c>
      <c r="H13" s="3" t="s">
        <v>189</v>
      </c>
    </row>
    <row r="14" spans="3:8" ht="15.75">
      <c r="C14" s="3" t="s">
        <v>190</v>
      </c>
      <c r="D14" s="3" t="s">
        <v>191</v>
      </c>
      <c r="E14" s="3" t="s">
        <v>192</v>
      </c>
      <c r="F14" s="3" t="s">
        <v>193</v>
      </c>
      <c r="G14" s="3" t="s">
        <v>194</v>
      </c>
      <c r="H14" s="3" t="s">
        <v>195</v>
      </c>
    </row>
    <row r="15" spans="3:8" ht="15.75">
      <c r="C15" s="3" t="s">
        <v>196</v>
      </c>
      <c r="D15" s="3" t="s">
        <v>197</v>
      </c>
      <c r="E15" s="3" t="s">
        <v>198</v>
      </c>
      <c r="F15" s="3" t="s">
        <v>199</v>
      </c>
      <c r="G15" s="3" t="s">
        <v>200</v>
      </c>
      <c r="H15" s="3" t="s">
        <v>201</v>
      </c>
    </row>
    <row r="17" ht="12.75">
      <c r="C17" s="4" t="s">
        <v>202</v>
      </c>
    </row>
    <row r="18" spans="3:7" ht="12.75">
      <c r="C18" s="4" t="s">
        <v>203</v>
      </c>
      <c r="D18">
        <v>119000</v>
      </c>
      <c r="E18" s="6">
        <f>D18*215*2.8/100000</f>
        <v>716.38</v>
      </c>
      <c r="F18" s="6">
        <f>D18*215*0.31/100000</f>
        <v>79.3135</v>
      </c>
      <c r="G18" s="6">
        <f>SUM(E18:F18)</f>
        <v>795.6935</v>
      </c>
    </row>
    <row r="19" spans="3:7" ht="13.5" thickBot="1">
      <c r="C19" s="5" t="s">
        <v>204</v>
      </c>
      <c r="D19">
        <v>46000</v>
      </c>
      <c r="E19" s="6">
        <f>D19*220*4.19/100000</f>
        <v>424.0280000000001</v>
      </c>
      <c r="F19" s="6">
        <f>D19*220*0.46/100000</f>
        <v>46.552</v>
      </c>
      <c r="G19" s="6">
        <f>SUM(E19:F19)</f>
        <v>470.5800000000001</v>
      </c>
    </row>
    <row r="20" spans="7:13" ht="16.5" thickBot="1">
      <c r="G20" s="6">
        <f>SUM(G18:G19)</f>
        <v>1266.2735</v>
      </c>
      <c r="K20" s="7">
        <v>2.8</v>
      </c>
      <c r="L20" s="8">
        <v>0.31</v>
      </c>
      <c r="M20">
        <f>SUM(K20:L20)</f>
        <v>3.11</v>
      </c>
    </row>
    <row r="21" spans="11:13" ht="16.5" thickBot="1">
      <c r="K21" s="2">
        <v>4.19</v>
      </c>
      <c r="L21" s="1">
        <v>0.46</v>
      </c>
      <c r="M21">
        <f>SUM(K21:L21)</f>
        <v>4.65</v>
      </c>
    </row>
    <row r="22" ht="12.75">
      <c r="M22">
        <f>SUM(K22:L22)</f>
        <v>0</v>
      </c>
    </row>
    <row r="23" spans="11:13" ht="12.75">
      <c r="K23" s="6">
        <f>K20*7.5/100</f>
        <v>0.21</v>
      </c>
      <c r="L23" s="6">
        <f>L20*7.5/100</f>
        <v>0.023250000000000003</v>
      </c>
      <c r="M23">
        <f>SUM(K23:L23)</f>
        <v>0.23324999999999999</v>
      </c>
    </row>
    <row r="24" spans="4:13" ht="12.75">
      <c r="D24">
        <v>119000</v>
      </c>
      <c r="E24" s="6">
        <f>D24*215*3.01/100000</f>
        <v>770.1085</v>
      </c>
      <c r="F24" s="6">
        <f>D24*215*0.33/100000</f>
        <v>84.4305</v>
      </c>
      <c r="G24" s="6">
        <f>SUM(E24:F24)</f>
        <v>854.539</v>
      </c>
      <c r="K24" s="6">
        <f>K21*7.5/100</f>
        <v>0.31425000000000003</v>
      </c>
      <c r="L24" s="6">
        <f>L21*7.5/100</f>
        <v>0.0345</v>
      </c>
      <c r="M24">
        <f>SUM(K24:L24)</f>
        <v>0.34875</v>
      </c>
    </row>
    <row r="25" spans="4:7" ht="12.75">
      <c r="D25">
        <v>46000</v>
      </c>
      <c r="E25" s="6">
        <f>D25*220*4.5/100000</f>
        <v>455.4</v>
      </c>
      <c r="F25" s="6">
        <f>D25*220*0.5/100000</f>
        <v>50.6</v>
      </c>
      <c r="G25" s="6">
        <f>SUM(E25:F25)</f>
        <v>506</v>
      </c>
    </row>
    <row r="26" spans="5:13" ht="12.75">
      <c r="E26" s="6">
        <f>SUM(E24:E25)</f>
        <v>1225.5085</v>
      </c>
      <c r="F26" s="6">
        <f>SUM(F24:F25)</f>
        <v>135.0305</v>
      </c>
      <c r="G26" s="6">
        <f>SUM(G24:G25)</f>
        <v>1360.539</v>
      </c>
      <c r="K26" s="6">
        <f aca="true" t="shared" si="0" ref="K26:M27">K20+K23</f>
        <v>3.01</v>
      </c>
      <c r="L26" s="6">
        <f t="shared" si="0"/>
        <v>0.33325</v>
      </c>
      <c r="M26" s="6">
        <f t="shared" si="0"/>
        <v>3.34325</v>
      </c>
    </row>
    <row r="27" spans="11:13" ht="12.75">
      <c r="K27" s="6">
        <f t="shared" si="0"/>
        <v>4.504250000000001</v>
      </c>
      <c r="L27" s="6">
        <f t="shared" si="0"/>
        <v>0.49450000000000005</v>
      </c>
      <c r="M27" s="6">
        <f t="shared" si="0"/>
        <v>4.99875</v>
      </c>
    </row>
    <row r="33" ht="13.5" thickBot="1"/>
    <row r="34" spans="4:7" ht="13.5" thickBot="1">
      <c r="D34" s="9">
        <v>119000</v>
      </c>
      <c r="E34" s="10">
        <v>215</v>
      </c>
      <c r="F34" s="6">
        <f>E34*D34*0.0001</f>
        <v>2558.5</v>
      </c>
      <c r="G34" s="6">
        <f>F34*5650/100000</f>
        <v>144.55525</v>
      </c>
    </row>
    <row r="35" spans="4:7" ht="15.75" thickBot="1">
      <c r="D35" s="11">
        <v>46000</v>
      </c>
      <c r="E35" s="12">
        <v>220</v>
      </c>
      <c r="F35" s="6">
        <f>E35*D35*0.0001</f>
        <v>1012</v>
      </c>
      <c r="G35" s="6">
        <f>F35*5650/100000</f>
        <v>57.178</v>
      </c>
    </row>
  </sheetData>
  <sheetProtection/>
  <mergeCells count="5">
    <mergeCell ref="C11:C13"/>
    <mergeCell ref="D11:D13"/>
    <mergeCell ref="E11:H11"/>
    <mergeCell ref="E12:F12"/>
    <mergeCell ref="G12:H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Lokender</cp:lastModifiedBy>
  <cp:lastPrinted>2018-05-21T04:34:45Z</cp:lastPrinted>
  <dcterms:created xsi:type="dcterms:W3CDTF">2007-02-27T08:33:39Z</dcterms:created>
  <dcterms:modified xsi:type="dcterms:W3CDTF">2018-05-21T04:35:30Z</dcterms:modified>
  <cp:category/>
  <cp:version/>
  <cp:contentType/>
  <cp:contentStatus/>
</cp:coreProperties>
</file>