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65401" windowWidth="8865" windowHeight="8625" tabRatio="819" activeTab="0"/>
  </bookViews>
  <sheets>
    <sheet name="Mizoram" sheetId="1" r:id="rId1"/>
    <sheet name="Sheet1" sheetId="2" r:id="rId2"/>
  </sheets>
  <definedNames>
    <definedName name="_xlnm.Print_Area" localSheetId="0">'Mizoram'!$A$1:$H$596</definedName>
  </definedNames>
  <calcPr fullCalcOnLoad="1"/>
</workbook>
</file>

<file path=xl/sharedStrings.xml><?xml version="1.0" encoding="utf-8"?>
<sst xmlns="http://schemas.openxmlformats.org/spreadsheetml/2006/main" count="822" uniqueCount="341">
  <si>
    <t>2007-08</t>
  </si>
  <si>
    <t>Sr. No.</t>
  </si>
  <si>
    <t>District</t>
  </si>
  <si>
    <t>Total</t>
  </si>
  <si>
    <t>Achievement as % of allocation</t>
  </si>
  <si>
    <t>Phy</t>
  </si>
  <si>
    <t>1st Installment</t>
  </si>
  <si>
    <t>2nd Installment</t>
  </si>
  <si>
    <t>Installment</t>
  </si>
  <si>
    <t>Dated</t>
  </si>
  <si>
    <t>(Rs. In lakhs)</t>
  </si>
  <si>
    <t xml:space="preserve">Fin                            </t>
  </si>
  <si>
    <t>Year</t>
  </si>
  <si>
    <t>2008-09</t>
  </si>
  <si>
    <t>National Programme of Mid-Day Meal in Schools</t>
  </si>
  <si>
    <t>Fin (in Lakh)</t>
  </si>
  <si>
    <t>Schools</t>
  </si>
  <si>
    <t>Primary</t>
  </si>
  <si>
    <t>Upper Primary</t>
  </si>
  <si>
    <t>Sub total</t>
  </si>
  <si>
    <t>Grand Total</t>
  </si>
  <si>
    <t>Units</t>
  </si>
  <si>
    <t>Variation</t>
  </si>
  <si>
    <t>GoI records</t>
  </si>
  <si>
    <t>Fin</t>
  </si>
  <si>
    <t>State record</t>
  </si>
  <si>
    <t>S.No.</t>
  </si>
  <si>
    <t>Name of District</t>
  </si>
  <si>
    <t>% utilisation of foodgrains</t>
  </si>
  <si>
    <t>% utilisation of Cooking cost</t>
  </si>
  <si>
    <t>Diff</t>
  </si>
  <si>
    <t>% Diff</t>
  </si>
  <si>
    <t>Sl. No.</t>
  </si>
  <si>
    <t>Allocation</t>
  </si>
  <si>
    <t>Bench mark</t>
  </si>
  <si>
    <t>Total Availibility</t>
  </si>
  <si>
    <t>% Availibility</t>
  </si>
  <si>
    <t>% Utilisation</t>
  </si>
  <si>
    <t>Utilisation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</si>
  <si>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</si>
  <si>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</si>
  <si>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</si>
  <si>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</si>
  <si>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</si>
  <si>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Total Availibility of cooking cost</t>
  </si>
  <si>
    <t xml:space="preserve">Cooking assistance received </t>
  </si>
  <si>
    <t>% Availibility of cooking cost</t>
  </si>
  <si>
    <t>Availibility</t>
  </si>
  <si>
    <t xml:space="preserve">% Utilisation                    </t>
  </si>
  <si>
    <t>Utilisation of Cooking assistance</t>
  </si>
  <si>
    <t>Mis-match in % points</t>
  </si>
  <si>
    <t>As per GoI record</t>
  </si>
  <si>
    <t xml:space="preserve">As per State's AWP&amp;B </t>
  </si>
  <si>
    <t>(in MTs)</t>
  </si>
  <si>
    <t>Government of India</t>
  </si>
  <si>
    <t>Bench mark (85%)</t>
  </si>
  <si>
    <t>TOTAL</t>
  </si>
  <si>
    <t>5(4-3)</t>
  </si>
  <si>
    <t>% Disbursed</t>
  </si>
  <si>
    <t>Amount                                                 (Rs. In lakh)</t>
  </si>
  <si>
    <t>O.B. (1.4.07)</t>
  </si>
  <si>
    <t>Activity</t>
  </si>
  <si>
    <t>Expenditure</t>
  </si>
  <si>
    <t>Exp as % of allocation</t>
  </si>
  <si>
    <t>Management, Supervision, Training &amp; Internal Monitoring</t>
  </si>
  <si>
    <t>External Monitoring &amp; Evaluation</t>
  </si>
  <si>
    <t>School Level Expenses</t>
  </si>
  <si>
    <t xml:space="preserve">Total Availibility </t>
  </si>
  <si>
    <t>Adhoc Releasaed</t>
  </si>
  <si>
    <t>Primary + Upper Primary</t>
  </si>
  <si>
    <t>2009-10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</si>
  <si>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</si>
  <si>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</si>
  <si>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</si>
  <si>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</si>
  <si>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</si>
  <si>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</si>
  <si>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(In MTs)</t>
  </si>
  <si>
    <t xml:space="preserve">Expected consumption of food grains </t>
  </si>
  <si>
    <t>Actual consumption of food grains</t>
  </si>
  <si>
    <t xml:space="preserve"> % consumption </t>
  </si>
  <si>
    <t>(Rs. in Lakhs)</t>
  </si>
  <si>
    <t>Diff in %</t>
  </si>
  <si>
    <t>No. of Meals as per PAB approval</t>
  </si>
  <si>
    <t>No. of Meals claimed to have served by the State</t>
  </si>
  <si>
    <t>PY &amp; UP PY</t>
  </si>
  <si>
    <t>Bench Mark as per State's claim</t>
  </si>
  <si>
    <t>Stage</t>
  </si>
  <si>
    <t>Up Primary</t>
  </si>
  <si>
    <t>7.1) Releasing details</t>
  </si>
  <si>
    <t>Districts</t>
  </si>
  <si>
    <t>No. of Institutions  serving MDM</t>
  </si>
  <si>
    <t>Non-Coverage</t>
  </si>
  <si>
    <t>% NC</t>
  </si>
  <si>
    <t>5=4-3</t>
  </si>
  <si>
    <t>5=3-4</t>
  </si>
  <si>
    <t>3.1)  Reconciliation of Foodgrains OB, Allocation &amp; Lifting</t>
  </si>
  <si>
    <t>3.2) ANALYSIS ON OPENING STOCK AND UNSPENT STOCK OF FOODGRAINS</t>
  </si>
  <si>
    <t>8.1) Releasing details</t>
  </si>
  <si>
    <t xml:space="preserve">PY </t>
  </si>
  <si>
    <t>UP PY</t>
  </si>
  <si>
    <t>PY &amp; UP PY  (Total)</t>
  </si>
  <si>
    <t>PY</t>
  </si>
  <si>
    <t>U PY</t>
  </si>
  <si>
    <t>Lifted from FCI</t>
  </si>
  <si>
    <t xml:space="preserve"> </t>
  </si>
  <si>
    <t>% Meals Served</t>
  </si>
  <si>
    <t>2006-07</t>
  </si>
  <si>
    <t xml:space="preserve"> 2006-07</t>
  </si>
  <si>
    <t xml:space="preserve">Primary </t>
  </si>
  <si>
    <t>% . Availibility</t>
  </si>
  <si>
    <t>Bills submited by FCI</t>
  </si>
  <si>
    <t>Payment made to FCI</t>
  </si>
  <si>
    <t>% payment</t>
  </si>
  <si>
    <t>Bills raised by FCI</t>
  </si>
  <si>
    <t>Payment to FCI by State</t>
  </si>
  <si>
    <t>Pending Bills</t>
  </si>
  <si>
    <t>Bill paid</t>
  </si>
  <si>
    <t>Balance of 1st Installment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</si>
  <si>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</si>
  <si>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</si>
  <si>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</si>
  <si>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</si>
  <si>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</si>
  <si>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</si>
  <si>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</si>
  <si>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</si>
  <si>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3.5)  Foodgrains Allocation, Lifting (availibility) &amp; Utilisation</t>
  </si>
  <si>
    <t>3.7)  Foodgrains Allocation, Lifting (availibility) &amp; Utilisation</t>
  </si>
  <si>
    <t xml:space="preserve">3.8) Payment of cost of foodgrain to FCI </t>
  </si>
  <si>
    <t>State : Mizoram</t>
  </si>
  <si>
    <t>Aizawl</t>
  </si>
  <si>
    <t>Champhai</t>
  </si>
  <si>
    <t>Kolasib</t>
  </si>
  <si>
    <t>Lawngtlai</t>
  </si>
  <si>
    <t>Lunglei</t>
  </si>
  <si>
    <t>Mamit</t>
  </si>
  <si>
    <t>Serchhip</t>
  </si>
  <si>
    <t>OB as on 01.04.11</t>
  </si>
  <si>
    <t>Adhoc Released</t>
  </si>
  <si>
    <t>2010-11</t>
  </si>
  <si>
    <t>2011-12</t>
  </si>
  <si>
    <t xml:space="preserve">S.no </t>
  </si>
  <si>
    <t xml:space="preserve">Stage </t>
  </si>
  <si>
    <t xml:space="preserve">Upper Primary </t>
  </si>
  <si>
    <t xml:space="preserve">No. of working days served MDM </t>
  </si>
  <si>
    <t xml:space="preserve">Difference </t>
  </si>
  <si>
    <t>5=(4-3)</t>
  </si>
  <si>
    <t>S. No</t>
  </si>
  <si>
    <t xml:space="preserve">Allocation </t>
  </si>
  <si>
    <t xml:space="preserve">Primary + Upper Primary  </t>
  </si>
  <si>
    <t xml:space="preserve">State Plan </t>
  </si>
  <si>
    <t xml:space="preserve">I.   PAB- MDM Approval VS Performance  </t>
  </si>
  <si>
    <t>1.3)  No. of Meals (Primary &amp; Upper Primary)</t>
  </si>
  <si>
    <t xml:space="preserve">2.1 COVERAGE OF INSTITUTIONS </t>
  </si>
  <si>
    <t xml:space="preserve">2.2 COVERAGE OF CHILDREN </t>
  </si>
  <si>
    <t>4.1 ) Releasing details</t>
  </si>
  <si>
    <t>7. ANALYSIS ON MANAGEMENT, MONITORING &amp; EVALUATION (MME)</t>
  </si>
  <si>
    <t>7.2)  Reconciliation of MME OB, Allocation &amp; Releasing [PY + U PY]</t>
  </si>
  <si>
    <t>8. ANALYSIS ON CENTRAL ASSISTANCE TOWARDS TRANSPORT ASSISTANCE</t>
  </si>
  <si>
    <t>8.2)  Reconciliation of TA OB, Allocation &amp; Releasing [PY + U PY]</t>
  </si>
  <si>
    <t>9.1) Releasing details</t>
  </si>
  <si>
    <t xml:space="preserve">9.2) Reconciliation of amount sanctioned </t>
  </si>
  <si>
    <t>9.4) Releasing details</t>
  </si>
  <si>
    <t xml:space="preserve">KITCHEN DEVICES </t>
  </si>
  <si>
    <t>6. ANALYSIS OF HONORARIUM TO COOK-CUM-HELPERS</t>
  </si>
  <si>
    <t>3.3)  Foodgrains :  Allocation &amp; Lifting</t>
  </si>
  <si>
    <t xml:space="preserve">5.1 Mismatch between Utilisation of Foodgrains and Cooking Cost </t>
  </si>
  <si>
    <t xml:space="preserve">I. KITCHEN-CUM -STORES </t>
  </si>
  <si>
    <t>Total  Availibility</t>
  </si>
  <si>
    <t>% Total Availibility</t>
  </si>
  <si>
    <t>1.1 No. of children</t>
  </si>
  <si>
    <t>No. of Existing Institutions</t>
  </si>
  <si>
    <t>No. of  Existing Institutions</t>
  </si>
  <si>
    <t xml:space="preserve">9.5) Reconciliation of amount sanctioned </t>
  </si>
  <si>
    <t>Difference in %</t>
  </si>
  <si>
    <t>3. ANALYSIS ON FOODGRAINS (PRIMARY + UPPER PRIMARY)</t>
  </si>
  <si>
    <t>Details</t>
  </si>
  <si>
    <t>II .COVERAGE  STATUS UNDER MDM</t>
  </si>
  <si>
    <t>Enrollment</t>
  </si>
  <si>
    <t>2012-13</t>
  </si>
  <si>
    <t>Total Cost per meal</t>
  </si>
  <si>
    <t>Centre-State sharing</t>
  </si>
  <si>
    <t>Non-NER States(75:25)</t>
  </si>
  <si>
    <t>NER States (90:10)</t>
  </si>
  <si>
    <t>Centre</t>
  </si>
  <si>
    <t>State</t>
  </si>
  <si>
    <t>Pry.</t>
  </si>
  <si>
    <t>Rs.3.11</t>
  </si>
  <si>
    <t>Rs.2.33</t>
  </si>
  <si>
    <t>Rs.0.78</t>
  </si>
  <si>
    <t>Rs.2.80</t>
  </si>
  <si>
    <t>Rs.0.31</t>
  </si>
  <si>
    <t>U. Pry.</t>
  </si>
  <si>
    <t>Rs.4.65</t>
  </si>
  <si>
    <t>Rs.3.49</t>
  </si>
  <si>
    <t>Rs.1.16</t>
  </si>
  <si>
    <t>Rs.4.19</t>
  </si>
  <si>
    <t>Rs.0.46</t>
  </si>
  <si>
    <t>Approval</t>
  </si>
  <si>
    <t>Pry</t>
  </si>
  <si>
    <t>U.Pry</t>
  </si>
  <si>
    <t>Average number of children availing MDM</t>
  </si>
  <si>
    <t>2013-14</t>
  </si>
  <si>
    <t>Primary +Upper Primary</t>
  </si>
  <si>
    <t>6.3)  District-wise status of Closing balance of grant for Honorarium, cooks-cum-Helpers</t>
  </si>
  <si>
    <t>Closing Balance</t>
  </si>
  <si>
    <t>U Pry</t>
  </si>
  <si>
    <t>Meal</t>
  </si>
  <si>
    <t>FG Expect</t>
  </si>
  <si>
    <t>FG</t>
  </si>
  <si>
    <t>4.2) ANALYSIS ON OPENING BALANACE AND CLOSING BALANACE</t>
  </si>
  <si>
    <t>4.5) Cooking Cost Utilisation</t>
  </si>
  <si>
    <t>4. ANALYSIS ON COOKING COST (PRIMARY + UPPER PRIMARY)</t>
  </si>
  <si>
    <t>Pry.+ U. Pry</t>
  </si>
  <si>
    <t>Institutions</t>
  </si>
  <si>
    <t>Serving</t>
  </si>
  <si>
    <t>Served</t>
  </si>
  <si>
    <t>To be Served</t>
  </si>
  <si>
    <t>Opening Balance</t>
  </si>
  <si>
    <t>Lifting</t>
  </si>
  <si>
    <t>Closing Balance / UNSPENT</t>
  </si>
  <si>
    <t>Quantity Consumed / Utilization</t>
  </si>
  <si>
    <t>Allocation (Cooking Cost)</t>
  </si>
  <si>
    <t>Opening Balance(Cooking Cost)</t>
  </si>
  <si>
    <t>Closing Balance(Cooking Cost)</t>
  </si>
  <si>
    <t>Received</t>
  </si>
  <si>
    <t>Utilization (Cooking Cost)</t>
  </si>
  <si>
    <t>Payment to CCH</t>
  </si>
  <si>
    <t>Allocation CCH</t>
  </si>
  <si>
    <t>Opening Balance CCH</t>
  </si>
  <si>
    <t>Amount Released (RECEIVED) / CCH</t>
  </si>
  <si>
    <t>Cl. Balance (Unspent Bal.) CCH</t>
  </si>
  <si>
    <t xml:space="preserve">  ANALYSIS SHEET</t>
  </si>
  <si>
    <t>4.3) Cooking cost allocation and availability</t>
  </si>
  <si>
    <t>Availability</t>
  </si>
  <si>
    <t>U. Pry</t>
  </si>
  <si>
    <t>Pry+U.Pry.</t>
  </si>
  <si>
    <t>Existing</t>
  </si>
  <si>
    <t>2014-15</t>
  </si>
  <si>
    <t>2015-16</t>
  </si>
  <si>
    <t>2017-18</t>
  </si>
  <si>
    <t xml:space="preserve">1.2 (b) No. of School working days  approved </t>
  </si>
  <si>
    <t xml:space="preserve">No of Working days approved </t>
  </si>
  <si>
    <t>2016-17</t>
  </si>
  <si>
    <t>KD New</t>
  </si>
  <si>
    <t>KD Replacement</t>
  </si>
  <si>
    <t>2018-19</t>
  </si>
  <si>
    <t>Lifting as on 31.12.2019</t>
  </si>
  <si>
    <t>3.4) District-wise Foodgrains availability  as on 31.03.18 (Source : Table AT-6 &amp; 6A of AWP&amp;B 2019-20)</t>
  </si>
  <si>
    <t xml:space="preserve">Closing Balance as on 31.03.2018                                         </t>
  </si>
  <si>
    <t>Refer table AT_8 and AT-8A,AWP&amp;B, 2019-20</t>
  </si>
  <si>
    <t>Closing balance as on 31.03.19</t>
  </si>
  <si>
    <t>(As on 31.03.19)</t>
  </si>
  <si>
    <t>(As on 31.0319)</t>
  </si>
  <si>
    <t>Achievement (C+IP)                                  upto 31.03.19</t>
  </si>
  <si>
    <t>9.3) Achievement ( under MDM Funds) (Source data: Table AT-11 of AWP&amp;B 2019-20)</t>
  </si>
  <si>
    <t>9.6) Achievement ( under MDM Funds for New Kitchen Devices) (Source data: Table AT-12 of AWP&amp;B 2019-20)</t>
  </si>
  <si>
    <r>
      <t>(i</t>
    </r>
    <r>
      <rPr>
        <i/>
        <sz val="10"/>
        <rFont val="Arial"/>
        <family val="2"/>
      </rPr>
      <t>n MTs)</t>
    </r>
  </si>
  <si>
    <t>2019-20</t>
  </si>
  <si>
    <t>KS - New                       Units</t>
  </si>
  <si>
    <t>KS - Repair -                           Units</t>
  </si>
  <si>
    <t>(Rs. in Lakh)</t>
  </si>
  <si>
    <t xml:space="preserve">Amount     </t>
  </si>
  <si>
    <t>Annual Work Plan &amp; Budget  (AWP&amp;B) 2020-21</t>
  </si>
  <si>
    <t xml:space="preserve"> REVIEW OF IMPLEMENTATION OF MDM SCHEME DURING 2019-20 (1.4.2019 to 31.12.2019)</t>
  </si>
  <si>
    <t>MDM PAB Approval for 2019-20</t>
  </si>
  <si>
    <t>1.2 (a) No. of  Working Days Approved for FY 2019-20</t>
  </si>
  <si>
    <t>No of working days approved for FY 2019-20</t>
  </si>
  <si>
    <t>No. of children as per PAB Approval for  2019-20</t>
  </si>
  <si>
    <t>2.3 Number of meal to be served and  actual  number of meal served during 2019-20</t>
  </si>
  <si>
    <t>Allocation for 2019-20</t>
  </si>
  <si>
    <t xml:space="preserve">Allocation for 2019-20                          </t>
  </si>
  <si>
    <t>% of OS on allocation 2019-20</t>
  </si>
  <si>
    <t>% of UB on allocation 2019-20</t>
  </si>
  <si>
    <t>Source: Table AT-6 &amp; 6A of AWP&amp;B 2019-20</t>
  </si>
  <si>
    <t>Releases for Cooking cost by GoI (2019-20)</t>
  </si>
  <si>
    <t xml:space="preserve">Allocation for 2019-20                                     </t>
  </si>
  <si>
    <t>% of OB on allocation 2019-20</t>
  </si>
  <si>
    <t>% of Closing Balance on allocation 2019-20</t>
  </si>
  <si>
    <t>5. Reconciliation of Utilisation and Performance during 2019-20 [PRIMARY+ UPPER PRIMARY]</t>
  </si>
  <si>
    <t>5.2 Reconciliation of Food grains utilisation during 2019-20</t>
  </si>
  <si>
    <t>5.3 Reconciliation of Cooking Cost utilisation during 2019-20 (Source para 2.5 and 4.7 above)</t>
  </si>
  <si>
    <t>% of UB as on Allocation 2019-20</t>
  </si>
  <si>
    <t>Releases for MME by GoI (2019-20)</t>
  </si>
  <si>
    <t>Releasing during 2019-20</t>
  </si>
  <si>
    <t>7.3) Utilisation of MME during 2019-20 (Source data: Table AT-10 of AWP&amp;B 2019-20)</t>
  </si>
  <si>
    <t>Allocated for 2019-20</t>
  </si>
  <si>
    <t>Releases for TA by GoI (2019-20)</t>
  </si>
  <si>
    <t>Releases during 2019-20</t>
  </si>
  <si>
    <t>8.3) Utilisation of TA during 2019-20 (Source data: Table AT-9 of AWP&amp;B 2019-20)</t>
  </si>
  <si>
    <t>9. INFRASTRUCTURE DEVELOPMENT DURING 2019-20 (Primary + Upper primary)</t>
  </si>
  <si>
    <t>Sactioned by GoI during 2006-07 to 2019-20</t>
  </si>
  <si>
    <t>Sactioned during 2006-07 to 2019-20</t>
  </si>
  <si>
    <t>i) Base period 01.04.2019 to 31.12.2019</t>
  </si>
  <si>
    <t>Average number of children availed MDM during 01.04.2019 to 31.12.2020          (AT-5&amp;5A)</t>
  </si>
  <si>
    <t>ii) Base period 01.04.2019 to 31.12.2019 (Working Days- 202 for Primary and 212 for U. Primary)</t>
  </si>
  <si>
    <t>No. of Meals as per PAB approval (01.04.2019 to 31.12.2019)</t>
  </si>
  <si>
    <t>OB as on 01.04.2019</t>
  </si>
  <si>
    <t>No. of Meals served by State during the period 01.04.2019 to 31.12.2019</t>
  </si>
  <si>
    <t>Siaha</t>
  </si>
  <si>
    <t>2.1.2   Institutions- (Upper Primary)          (Source :Table AT-3B &amp; 3C  of AWP&amp;B 2020-21)</t>
  </si>
  <si>
    <t>2.1.1  Institutions- (Primary)                   (Source: Table AT-3A  of AWP&amp;B 2019-20)</t>
  </si>
  <si>
    <t>2.2.4  Enrolment Vs. Coverage of children  (U.Primary)           (Source : Table AT-4A  of AWP&amp;B 2020-21)</t>
  </si>
  <si>
    <t>2.2.3 Enrolment Vs Coverage of children ( Primary)    (Source : Table AT-4  of AWP&amp;B 20120-21)</t>
  </si>
  <si>
    <t>2.2.2 PAB Approval VS Coverage of children (Upper Primary)    (Source: Table AT-5-A of AWP&amp;B 2020-21)</t>
  </si>
  <si>
    <t>2.2.1 PAB Approval VS. Coverage of children  ( Primary)           Source : Table AT-5  of AWP&amp;B 2020-21)</t>
  </si>
  <si>
    <t>(Source: Table AT-5 &amp; 5A of AWP&amp;B 2020-21)</t>
  </si>
  <si>
    <t>Unspent balance as on 001.04.2019</t>
  </si>
  <si>
    <t xml:space="preserve">No. of Meals served during 001.04.2019 to 31.03.19     </t>
  </si>
  <si>
    <t>No of meals to be served during 01.04.2019 to 31-12-2019</t>
  </si>
  <si>
    <t>No of meal served during 01.04.2019 to 31.12.2019</t>
  </si>
  <si>
    <t>Opening Stock as on 01.04.2019</t>
  </si>
  <si>
    <t xml:space="preserve">Opening Balance as on 01.04.2019                                                  </t>
  </si>
  <si>
    <t xml:space="preserve"> 4.2.1) District-wise opening balance as on 01.04.2019 (Source : Table AT-7 &amp; 7A of AWP&amp;B 2019-20)</t>
  </si>
  <si>
    <t xml:space="preserve">Opening Balance as on 01.04.2019                                            </t>
  </si>
  <si>
    <t>Opening Balance as on 01.04.2019</t>
  </si>
  <si>
    <t xml:space="preserve"> 3.2.1) District-wise opening balance as on 01.04.2019 (Source: Table AT-6 &amp; 6A of AWP&amp;B 2020-21)</t>
  </si>
  <si>
    <t>Consumption</t>
  </si>
  <si>
    <t xml:space="preserve"> 3.2.2) District-wise unspent balance as on 31.03.2018 (Source: Table AT-6 &amp; 6A of AWP&amp;B 2020-21)</t>
  </si>
  <si>
    <t xml:space="preserve">Closing Balance as on 31.12.2019                          </t>
  </si>
  <si>
    <t>Lifting upto 31.12.2019</t>
  </si>
  <si>
    <t>3.6)  District-wise Utilisation of foodgrains (Source: Table AT-6 &amp; 6A of AWP&amp;B 2020-21)</t>
  </si>
  <si>
    <t>01.05.2019</t>
  </si>
  <si>
    <t>01.04.2019</t>
  </si>
  <si>
    <t>09.09.2019</t>
  </si>
  <si>
    <t>23.12.2019</t>
  </si>
  <si>
    <t>(Cooking Cost Received)</t>
  </si>
  <si>
    <t xml:space="preserve"> 4.2.2) District-wise Closing balance as on 31.12.2019 (Source : Table AT-7 &amp; 7A of AWP&amp;B 2020-21)</t>
  </si>
  <si>
    <t>4.4)  District-wise Cooking Cost availability (Source : Table AT-7 &amp; 7A of AWP&amp;B 2020-21)</t>
  </si>
  <si>
    <t>4.6)  District-wise Utilisation of Cooking cost (Source : Table AT-7 &amp; 7A of AWP&amp;B 2020-21)</t>
  </si>
  <si>
    <t xml:space="preserve">Expected Cooking cost Utilisation </t>
  </si>
  <si>
    <t>UPY</t>
  </si>
  <si>
    <t>Expected expenditure of cooking cost (CC)</t>
  </si>
  <si>
    <t>Actual expenditure of cooking cost (CC)</t>
  </si>
  <si>
    <t xml:space="preserve"> % Cooking Cost Expenditure</t>
  </si>
  <si>
    <t>*The PAB MDM has approved 9 kitchen cum stores during 2019-20 The fund has released on 25.02.2020.</t>
  </si>
  <si>
    <t>2006-07 to          2019-20</t>
  </si>
  <si>
    <t>Releases for Kitchen devices by GoI as on 31.12.2019</t>
  </si>
  <si>
    <t>Releases for Kitchen sheds by GoI as on 31.12.2019</t>
  </si>
  <si>
    <t>2006-07 to               2019-20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</si>
</sst>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0.0"/>
    <numFmt numFmtId="184" formatCode="0.0%"/>
    <numFmt numFmtId="185" formatCode="0.00000000"/>
    <numFmt numFmtId="186" formatCode="0.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??_);_(@_)"/>
    <numFmt numFmtId="192" formatCode="0.000000000000000%"/>
    <numFmt numFmtId="193" formatCode="0.00000000000000%"/>
    <numFmt numFmtId="194" formatCode="0.0000000000000%"/>
    <numFmt numFmtId="195" formatCode="0.000000000000%"/>
    <numFmt numFmtId="196" formatCode="0.00000000000%"/>
    <numFmt numFmtId="197" formatCode="[$-4009]dd\ mmmm\ yyyy"/>
    <numFmt numFmtId="198" formatCode="[$-409]dddd\,\ mmmm\ dd\,\ yyyy"/>
    <numFmt numFmtId="199" formatCode="[$-409]h:mm:ss\ AM/PM"/>
    <numFmt numFmtId="200" formatCode="0.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2" fontId="5" fillId="0" borderId="0" xfId="82" applyNumberFormat="1" applyFont="1" applyFill="1" applyBorder="1" applyAlignment="1">
      <alignment horizontal="center"/>
    </xf>
    <xf numFmtId="9" fontId="0" fillId="0" borderId="0" xfId="82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9" fontId="0" fillId="0" borderId="0" xfId="82" applyFont="1" applyBorder="1" applyAlignment="1">
      <alignment horizontal="center" vertical="center" wrapText="1"/>
    </xf>
    <xf numFmtId="9" fontId="11" fillId="0" borderId="0" xfId="82" applyFont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82" applyFont="1" applyBorder="1" applyAlignment="1">
      <alignment/>
    </xf>
    <xf numFmtId="0" fontId="0" fillId="0" borderId="15" xfId="0" applyFont="1" applyBorder="1" applyAlignment="1">
      <alignment horizontal="center"/>
    </xf>
    <xf numFmtId="2" fontId="11" fillId="0" borderId="0" xfId="82" applyNumberFormat="1" applyFont="1" applyAlignment="1">
      <alignment/>
    </xf>
    <xf numFmtId="0" fontId="11" fillId="0" borderId="0" xfId="82" applyNumberFormat="1" applyFont="1" applyAlignment="1">
      <alignment/>
    </xf>
    <xf numFmtId="0" fontId="0" fillId="0" borderId="0" xfId="82" applyNumberFormat="1" applyFont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9" fontId="0" fillId="33" borderId="0" xfId="82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2" fontId="6" fillId="34" borderId="0" xfId="0" applyNumberFormat="1" applyFont="1" applyFill="1" applyBorder="1" applyAlignment="1">
      <alignment horizontal="left" vertical="top"/>
    </xf>
    <xf numFmtId="2" fontId="7" fillId="34" borderId="0" xfId="0" applyNumberFormat="1" applyFont="1" applyFill="1" applyBorder="1" applyAlignment="1">
      <alignment horizontal="center" vertical="top" wrapText="1"/>
    </xf>
    <xf numFmtId="9" fontId="7" fillId="34" borderId="0" xfId="82" applyFont="1" applyFill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9" fontId="5" fillId="0" borderId="0" xfId="82" applyFont="1" applyFill="1" applyBorder="1" applyAlignment="1">
      <alignment vertical="center"/>
    </xf>
    <xf numFmtId="0" fontId="0" fillId="0" borderId="0" xfId="0" applyFont="1" applyAlignment="1" quotePrefix="1">
      <alignment/>
    </xf>
    <xf numFmtId="2" fontId="0" fillId="0" borderId="12" xfId="0" applyNumberFormat="1" applyFont="1" applyBorder="1" applyAlignment="1">
      <alignment horizontal="right"/>
    </xf>
    <xf numFmtId="2" fontId="8" fillId="0" borderId="0" xfId="61" applyNumberFormat="1" applyFont="1" applyBorder="1" applyAlignment="1">
      <alignment horizontal="right" indent="1"/>
      <protection/>
    </xf>
    <xf numFmtId="2" fontId="4" fillId="0" borderId="0" xfId="61" applyNumberFormat="1" applyFont="1" applyBorder="1" applyAlignment="1">
      <alignment horizontal="right" indent="1"/>
      <protection/>
    </xf>
    <xf numFmtId="2" fontId="5" fillId="0" borderId="0" xfId="0" applyNumberFormat="1" applyFont="1" applyBorder="1" applyAlignment="1">
      <alignment horizontal="right"/>
    </xf>
    <xf numFmtId="0" fontId="4" fillId="34" borderId="0" xfId="0" applyFont="1" applyFill="1" applyAlignment="1">
      <alignment/>
    </xf>
    <xf numFmtId="0" fontId="8" fillId="34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2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left" vertical="center"/>
    </xf>
    <xf numFmtId="2" fontId="10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2" fontId="5" fillId="34" borderId="19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>
      <alignment horizontal="left" vertical="center"/>
    </xf>
    <xf numFmtId="1" fontId="5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0" fillId="36" borderId="0" xfId="0" applyFont="1" applyFill="1" applyBorder="1" applyAlignment="1">
      <alignment horizontal="center" vertical="center"/>
    </xf>
    <xf numFmtId="2" fontId="0" fillId="36" borderId="0" xfId="0" applyNumberFormat="1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0" xfId="72" applyFont="1" applyFill="1">
      <alignment/>
      <protection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9" fontId="0" fillId="0" borderId="0" xfId="84" applyFont="1" applyFill="1" applyBorder="1" applyAlignment="1">
      <alignment/>
    </xf>
    <xf numFmtId="9" fontId="5" fillId="0" borderId="0" xfId="84" applyFont="1" applyFill="1" applyBorder="1" applyAlignment="1">
      <alignment/>
    </xf>
    <xf numFmtId="0" fontId="5" fillId="0" borderId="0" xfId="72" applyFont="1" applyFill="1" applyBorder="1">
      <alignment/>
      <protection/>
    </xf>
    <xf numFmtId="0" fontId="6" fillId="0" borderId="0" xfId="72" applyFont="1" applyFill="1" applyBorder="1" applyAlignment="1">
      <alignment horizontal="left" vertical="top" wrapText="1"/>
      <protection/>
    </xf>
    <xf numFmtId="2" fontId="5" fillId="0" borderId="0" xfId="72" applyNumberFormat="1" applyFont="1" applyFill="1" applyBorder="1">
      <alignment/>
      <protection/>
    </xf>
    <xf numFmtId="0" fontId="0" fillId="0" borderId="0" xfId="72" applyFont="1" applyFill="1" applyBorder="1">
      <alignment/>
      <protection/>
    </xf>
    <xf numFmtId="2" fontId="5" fillId="0" borderId="0" xfId="72" applyNumberFormat="1" applyFont="1" applyFill="1" applyBorder="1" applyProtection="1">
      <alignment/>
      <protection locked="0"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84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9" fontId="0" fillId="0" borderId="0" xfId="82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34" borderId="27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36" borderId="1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82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/>
    </xf>
    <xf numFmtId="9" fontId="0" fillId="0" borderId="17" xfId="82" applyFont="1" applyFill="1" applyBorder="1" applyAlignment="1">
      <alignment horizontal="center" vertical="center"/>
    </xf>
    <xf numFmtId="9" fontId="5" fillId="34" borderId="19" xfId="82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 horizontal="center"/>
    </xf>
    <xf numFmtId="0" fontId="5" fillId="0" borderId="0" xfId="82" applyNumberFormat="1" applyFont="1" applyFill="1" applyBorder="1" applyAlignment="1">
      <alignment vertical="center"/>
    </xf>
    <xf numFmtId="2" fontId="5" fillId="0" borderId="12" xfId="72" applyNumberFormat="1" applyFont="1" applyFill="1" applyBorder="1" applyAlignment="1">
      <alignment horizontal="center" vertical="center" wrapText="1"/>
      <protection/>
    </xf>
    <xf numFmtId="1" fontId="5" fillId="0" borderId="12" xfId="72" applyNumberFormat="1" applyFont="1" applyFill="1" applyBorder="1" applyAlignment="1">
      <alignment horizontal="center" vertical="center" wrapText="1"/>
      <protection/>
    </xf>
    <xf numFmtId="9" fontId="0" fillId="0" borderId="12" xfId="84" applyFont="1" applyFill="1" applyBorder="1" applyAlignment="1">
      <alignment horizontal="center"/>
    </xf>
    <xf numFmtId="9" fontId="5" fillId="0" borderId="12" xfId="84" applyFont="1" applyFill="1" applyBorder="1" applyAlignment="1">
      <alignment horizontal="center"/>
    </xf>
    <xf numFmtId="9" fontId="0" fillId="0" borderId="12" xfId="82" applyFont="1" applyFill="1" applyBorder="1" applyAlignment="1">
      <alignment/>
    </xf>
    <xf numFmtId="9" fontId="5" fillId="0" borderId="12" xfId="82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1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4" fillId="37" borderId="0" xfId="0" applyFont="1" applyFill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4" borderId="23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1" fontId="5" fillId="0" borderId="12" xfId="82" applyNumberFormat="1" applyFont="1" applyBorder="1" applyAlignment="1">
      <alignment horizontal="center"/>
    </xf>
    <xf numFmtId="9" fontId="0" fillId="0" borderId="17" xfId="82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/>
    </xf>
    <xf numFmtId="1" fontId="5" fillId="0" borderId="38" xfId="0" applyNumberFormat="1" applyFont="1" applyBorder="1" applyAlignment="1">
      <alignment horizontal="center"/>
    </xf>
    <xf numFmtId="1" fontId="5" fillId="0" borderId="38" xfId="82" applyNumberFormat="1" applyFont="1" applyBorder="1" applyAlignment="1">
      <alignment horizontal="center"/>
    </xf>
    <xf numFmtId="9" fontId="0" fillId="0" borderId="19" xfId="82" applyFont="1" applyBorder="1" applyAlignment="1">
      <alignment horizontal="center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6" borderId="1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36" borderId="1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34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wrapText="1"/>
    </xf>
    <xf numFmtId="9" fontId="5" fillId="0" borderId="17" xfId="82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1" fontId="0" fillId="0" borderId="38" xfId="0" applyNumberFormat="1" applyFont="1" applyBorder="1" applyAlignment="1">
      <alignment horizontal="center"/>
    </xf>
    <xf numFmtId="0" fontId="5" fillId="34" borderId="26" xfId="0" applyFont="1" applyFill="1" applyBorder="1" applyAlignment="1">
      <alignment horizontal="center" wrapText="1"/>
    </xf>
    <xf numFmtId="2" fontId="5" fillId="34" borderId="26" xfId="82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9" fontId="0" fillId="0" borderId="17" xfId="82" applyFont="1" applyBorder="1" applyAlignment="1">
      <alignment horizontal="center" vertical="center" wrapText="1"/>
    </xf>
    <xf numFmtId="2" fontId="5" fillId="0" borderId="0" xfId="82" applyNumberFormat="1" applyFont="1" applyFill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/>
    </xf>
    <xf numFmtId="9" fontId="0" fillId="0" borderId="19" xfId="82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9" fontId="5" fillId="0" borderId="0" xfId="82" applyFont="1" applyFill="1" applyBorder="1" applyAlignment="1">
      <alignment/>
    </xf>
    <xf numFmtId="0" fontId="0" fillId="0" borderId="0" xfId="0" applyFont="1" applyBorder="1" applyAlignment="1">
      <alignment horizontal="center"/>
    </xf>
    <xf numFmtId="9" fontId="5" fillId="34" borderId="26" xfId="82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left" vertical="center" wrapText="1"/>
    </xf>
    <xf numFmtId="0" fontId="5" fillId="34" borderId="40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9" fontId="0" fillId="0" borderId="30" xfId="82" applyFont="1" applyBorder="1" applyAlignment="1">
      <alignment horizontal="center"/>
    </xf>
    <xf numFmtId="0" fontId="0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/>
    </xf>
    <xf numFmtId="9" fontId="0" fillId="34" borderId="24" xfId="82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wrapText="1"/>
    </xf>
    <xf numFmtId="1" fontId="5" fillId="34" borderId="38" xfId="0" applyNumberFormat="1" applyFont="1" applyFill="1" applyBorder="1" applyAlignment="1">
      <alignment horizontal="center"/>
    </xf>
    <xf numFmtId="2" fontId="5" fillId="34" borderId="38" xfId="0" applyNumberFormat="1" applyFont="1" applyFill="1" applyBorder="1" applyAlignment="1">
      <alignment horizontal="center"/>
    </xf>
    <xf numFmtId="9" fontId="5" fillId="34" borderId="19" xfId="82" applyFont="1" applyFill="1" applyBorder="1" applyAlignment="1">
      <alignment horizontal="center"/>
    </xf>
    <xf numFmtId="9" fontId="5" fillId="0" borderId="0" xfId="82" applyFont="1" applyAlignment="1">
      <alignment/>
    </xf>
    <xf numFmtId="1" fontId="0" fillId="0" borderId="4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36" borderId="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/>
    </xf>
    <xf numFmtId="1" fontId="5" fillId="36" borderId="0" xfId="0" applyNumberFormat="1" applyFont="1" applyFill="1" applyBorder="1" applyAlignment="1">
      <alignment horizontal="right" vertical="center" wrapText="1"/>
    </xf>
    <xf numFmtId="1" fontId="5" fillId="36" borderId="0" xfId="0" applyNumberFormat="1" applyFont="1" applyFill="1" applyBorder="1" applyAlignment="1">
      <alignment horizontal="right"/>
    </xf>
    <xf numFmtId="9" fontId="5" fillId="36" borderId="0" xfId="82" applyFont="1" applyFill="1" applyBorder="1" applyAlignment="1">
      <alignment/>
    </xf>
    <xf numFmtId="9" fontId="5" fillId="36" borderId="0" xfId="82" applyFont="1" applyFill="1" applyAlignment="1">
      <alignment/>
    </xf>
    <xf numFmtId="0" fontId="5" fillId="34" borderId="25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43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/>
    </xf>
    <xf numFmtId="1" fontId="5" fillId="36" borderId="0" xfId="0" applyNumberFormat="1" applyFont="1" applyFill="1" applyBorder="1" applyAlignment="1">
      <alignment/>
    </xf>
    <xf numFmtId="9" fontId="5" fillId="36" borderId="0" xfId="82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9" fontId="5" fillId="0" borderId="0" xfId="82" applyFont="1" applyBorder="1" applyAlignment="1">
      <alignment horizontal="right"/>
    </xf>
    <xf numFmtId="0" fontId="1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/>
    </xf>
    <xf numFmtId="9" fontId="5" fillId="0" borderId="19" xfId="82" applyFont="1" applyBorder="1" applyAlignment="1">
      <alignment horizontal="center"/>
    </xf>
    <xf numFmtId="9" fontId="0" fillId="0" borderId="0" xfId="82" applyFont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5" fillId="36" borderId="47" xfId="0" applyFont="1" applyFill="1" applyBorder="1" applyAlignment="1">
      <alignment horizontal="center" vertical="top" wrapText="1"/>
    </xf>
    <xf numFmtId="0" fontId="5" fillId="36" borderId="45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36" borderId="29" xfId="0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10" fillId="36" borderId="12" xfId="0" applyFont="1" applyFill="1" applyBorder="1" applyAlignment="1">
      <alignment horizontal="center" vertical="top" wrapText="1"/>
    </xf>
    <xf numFmtId="0" fontId="10" fillId="36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wrapText="1"/>
    </xf>
    <xf numFmtId="9" fontId="0" fillId="36" borderId="17" xfId="82" applyFont="1" applyFill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9" fontId="0" fillId="0" borderId="0" xfId="82" applyFont="1" applyBorder="1" applyAlignment="1">
      <alignment horizontal="right" wrapText="1"/>
    </xf>
    <xf numFmtId="9" fontId="5" fillId="0" borderId="0" xfId="82" applyFont="1" applyBorder="1" applyAlignment="1">
      <alignment horizontal="right" wrapText="1"/>
    </xf>
    <xf numFmtId="0" fontId="0" fillId="0" borderId="0" xfId="0" applyFont="1" applyAlignment="1">
      <alignment horizontal="right"/>
    </xf>
    <xf numFmtId="2" fontId="0" fillId="0" borderId="37" xfId="0" applyNumberFormat="1" applyFont="1" applyBorder="1" applyAlignment="1">
      <alignment horizontal="center" vertical="top" wrapText="1"/>
    </xf>
    <xf numFmtId="2" fontId="0" fillId="38" borderId="38" xfId="0" applyNumberFormat="1" applyFont="1" applyFill="1" applyBorder="1" applyAlignment="1">
      <alignment horizontal="center" vertical="top" wrapText="1"/>
    </xf>
    <xf numFmtId="2" fontId="0" fillId="0" borderId="38" xfId="0" applyNumberFormat="1" applyFont="1" applyBorder="1" applyAlignment="1">
      <alignment horizontal="center" vertical="top" wrapText="1"/>
    </xf>
    <xf numFmtId="9" fontId="0" fillId="0" borderId="38" xfId="82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top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5" fillId="36" borderId="49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/>
    </xf>
    <xf numFmtId="181" fontId="0" fillId="36" borderId="12" xfId="0" applyNumberFormat="1" applyFont="1" applyFill="1" applyBorder="1" applyAlignment="1">
      <alignment horizontal="center"/>
    </xf>
    <xf numFmtId="9" fontId="0" fillId="0" borderId="17" xfId="82" applyFont="1" applyFill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9" fontId="5" fillId="0" borderId="38" xfId="82" applyFont="1" applyBorder="1" applyAlignment="1">
      <alignment horizontal="center"/>
    </xf>
    <xf numFmtId="0" fontId="5" fillId="36" borderId="25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center"/>
    </xf>
    <xf numFmtId="2" fontId="5" fillId="36" borderId="0" xfId="0" applyNumberFormat="1" applyFont="1" applyFill="1" applyBorder="1" applyAlignment="1">
      <alignment horizontal="center" vertical="top" wrapText="1"/>
    </xf>
    <xf numFmtId="9" fontId="0" fillId="36" borderId="17" xfId="82" applyNumberFormat="1" applyFont="1" applyFill="1" applyBorder="1" applyAlignment="1">
      <alignment horizontal="center" vertical="center" wrapText="1"/>
    </xf>
    <xf numFmtId="2" fontId="5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wrapText="1"/>
    </xf>
    <xf numFmtId="2" fontId="0" fillId="36" borderId="0" xfId="0" applyNumberFormat="1" applyFont="1" applyFill="1" applyBorder="1" applyAlignment="1">
      <alignment/>
    </xf>
    <xf numFmtId="9" fontId="0" fillId="36" borderId="0" xfId="82" applyNumberFormat="1" applyFont="1" applyFill="1" applyBorder="1" applyAlignment="1">
      <alignment horizontal="right" vertical="center" wrapText="1"/>
    </xf>
    <xf numFmtId="0" fontId="5" fillId="34" borderId="25" xfId="72" applyFont="1" applyFill="1" applyBorder="1" applyAlignment="1">
      <alignment horizontal="center" vertical="center" wrapText="1"/>
      <protection/>
    </xf>
    <xf numFmtId="0" fontId="5" fillId="34" borderId="26" xfId="72" applyFont="1" applyFill="1" applyBorder="1" applyAlignment="1">
      <alignment horizontal="center" vertical="center" wrapText="1"/>
      <protection/>
    </xf>
    <xf numFmtId="0" fontId="5" fillId="34" borderId="27" xfId="72" applyFont="1" applyFill="1" applyBorder="1" applyAlignment="1">
      <alignment horizontal="center" vertical="center" wrapText="1"/>
      <protection/>
    </xf>
    <xf numFmtId="2" fontId="0" fillId="0" borderId="37" xfId="0" applyNumberFormat="1" applyFont="1" applyBorder="1" applyAlignment="1">
      <alignment/>
    </xf>
    <xf numFmtId="9" fontId="0" fillId="0" borderId="38" xfId="82" applyFont="1" applyBorder="1" applyAlignment="1">
      <alignment/>
    </xf>
    <xf numFmtId="2" fontId="0" fillId="0" borderId="38" xfId="82" applyNumberFormat="1" applyFont="1" applyBorder="1" applyAlignment="1">
      <alignment/>
    </xf>
    <xf numFmtId="9" fontId="0" fillId="0" borderId="19" xfId="82" applyFont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34" borderId="28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2" fontId="10" fillId="34" borderId="17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left" vertical="top"/>
    </xf>
    <xf numFmtId="2" fontId="7" fillId="33" borderId="0" xfId="0" applyNumberFormat="1" applyFont="1" applyFill="1" applyBorder="1" applyAlignment="1">
      <alignment horizontal="center" vertical="top" wrapText="1"/>
    </xf>
    <xf numFmtId="9" fontId="0" fillId="33" borderId="0" xfId="82" applyFont="1" applyFill="1" applyBorder="1" applyAlignment="1">
      <alignment horizontal="center" vertical="top" wrapText="1"/>
    </xf>
    <xf numFmtId="0" fontId="5" fillId="34" borderId="47" xfId="0" applyFont="1" applyFill="1" applyBorder="1" applyAlignment="1">
      <alignment horizontal="center" vertical="top" wrapText="1"/>
    </xf>
    <xf numFmtId="0" fontId="5" fillId="34" borderId="45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9" fontId="0" fillId="0" borderId="17" xfId="82" applyFont="1" applyBorder="1" applyAlignment="1">
      <alignment horizontal="center" wrapText="1"/>
    </xf>
    <xf numFmtId="9" fontId="0" fillId="0" borderId="0" xfId="82" applyFont="1" applyFill="1" applyBorder="1" applyAlignment="1">
      <alignment vertical="center"/>
    </xf>
    <xf numFmtId="9" fontId="5" fillId="34" borderId="19" xfId="82" applyFont="1" applyFill="1" applyBorder="1" applyAlignment="1">
      <alignment horizontal="center" wrapText="1"/>
    </xf>
    <xf numFmtId="0" fontId="0" fillId="0" borderId="0" xfId="0" applyFont="1" applyFill="1" applyBorder="1" applyAlignment="1" quotePrefix="1">
      <alignment horizontal="center"/>
    </xf>
    <xf numFmtId="2" fontId="5" fillId="0" borderId="0" xfId="0" applyNumberFormat="1" applyFont="1" applyBorder="1" applyAlignment="1">
      <alignment horizontal="right" vertical="top" wrapText="1"/>
    </xf>
    <xf numFmtId="0" fontId="10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2" xfId="82" applyFont="1" applyBorder="1" applyAlignment="1">
      <alignment/>
    </xf>
    <xf numFmtId="1" fontId="0" fillId="0" borderId="12" xfId="0" applyNumberFormat="1" applyFont="1" applyBorder="1" applyAlignment="1">
      <alignment/>
    </xf>
    <xf numFmtId="2" fontId="0" fillId="0" borderId="37" xfId="0" applyNumberFormat="1" applyFont="1" applyFill="1" applyBorder="1" applyAlignment="1">
      <alignment horizontal="center" vertical="top" wrapText="1"/>
    </xf>
    <xf numFmtId="2" fontId="0" fillId="38" borderId="12" xfId="0" applyNumberFormat="1" applyFont="1" applyFill="1" applyBorder="1" applyAlignment="1">
      <alignment horizontal="center" wrapText="1"/>
    </xf>
    <xf numFmtId="2" fontId="0" fillId="38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/>
    </xf>
    <xf numFmtId="0" fontId="5" fillId="34" borderId="12" xfId="0" applyFont="1" applyFill="1" applyBorder="1" applyAlignment="1">
      <alignment horizontal="center"/>
    </xf>
    <xf numFmtId="9" fontId="0" fillId="0" borderId="12" xfId="82" applyFont="1" applyBorder="1" applyAlignment="1">
      <alignment horizontal="center"/>
    </xf>
    <xf numFmtId="9" fontId="0" fillId="0" borderId="12" xfId="82" applyFont="1" applyBorder="1" applyAlignment="1" quotePrefix="1">
      <alignment horizontal="center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center"/>
    </xf>
    <xf numFmtId="2" fontId="5" fillId="36" borderId="0" xfId="0" applyNumberFormat="1" applyFont="1" applyFill="1" applyBorder="1" applyAlignment="1">
      <alignment/>
    </xf>
    <xf numFmtId="2" fontId="5" fillId="36" borderId="0" xfId="0" applyNumberFormat="1" applyFont="1" applyFill="1" applyBorder="1" applyAlignment="1">
      <alignment horizontal="right"/>
    </xf>
    <xf numFmtId="0" fontId="5" fillId="34" borderId="44" xfId="0" applyFont="1" applyFill="1" applyBorder="1" applyAlignment="1">
      <alignment horizontal="center" vertical="top" wrapText="1"/>
    </xf>
    <xf numFmtId="9" fontId="0" fillId="36" borderId="12" xfId="8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0" fillId="0" borderId="15" xfId="0" applyFont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wrapText="1"/>
    </xf>
    <xf numFmtId="1" fontId="5" fillId="34" borderId="12" xfId="0" applyNumberFormat="1" applyFont="1" applyFill="1" applyBorder="1" applyAlignment="1">
      <alignment horizontal="center"/>
    </xf>
    <xf numFmtId="9" fontId="5" fillId="34" borderId="12" xfId="82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6" fillId="0" borderId="0" xfId="72" applyFont="1" applyFill="1">
      <alignment/>
      <protection/>
    </xf>
    <xf numFmtId="0" fontId="5" fillId="0" borderId="0" xfId="72" applyFont="1" applyFill="1">
      <alignment/>
      <protection/>
    </xf>
    <xf numFmtId="0" fontId="5" fillId="0" borderId="12" xfId="72" applyFont="1" applyFill="1" applyBorder="1" applyAlignment="1">
      <alignment horizontal="center" vertical="center" wrapText="1"/>
      <protection/>
    </xf>
    <xf numFmtId="0" fontId="0" fillId="0" borderId="12" xfId="72" applyFont="1" applyFill="1" applyBorder="1" applyAlignment="1">
      <alignment horizontal="center"/>
      <protection/>
    </xf>
    <xf numFmtId="2" fontId="0" fillId="0" borderId="12" xfId="72" applyNumberFormat="1" applyFont="1" applyFill="1" applyBorder="1" applyAlignment="1">
      <alignment horizontal="center"/>
      <protection/>
    </xf>
    <xf numFmtId="0" fontId="5" fillId="0" borderId="12" xfId="72" applyFont="1" applyFill="1" applyBorder="1">
      <alignment/>
      <protection/>
    </xf>
    <xf numFmtId="0" fontId="6" fillId="0" borderId="12" xfId="72" applyFont="1" applyFill="1" applyBorder="1" applyAlignment="1">
      <alignment horizontal="left" vertical="top" wrapText="1"/>
      <protection/>
    </xf>
    <xf numFmtId="2" fontId="5" fillId="0" borderId="12" xfId="72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center" vertical="top" wrapText="1"/>
    </xf>
    <xf numFmtId="9" fontId="5" fillId="0" borderId="0" xfId="82" applyFont="1" applyFill="1" applyBorder="1" applyAlignment="1">
      <alignment horizontal="center" vertical="top" wrapText="1"/>
    </xf>
    <xf numFmtId="2" fontId="5" fillId="0" borderId="0" xfId="72" applyNumberFormat="1" applyFont="1" applyFill="1" applyBorder="1" applyAlignment="1">
      <alignment wrapText="1"/>
      <protection/>
    </xf>
    <xf numFmtId="2" fontId="0" fillId="0" borderId="12" xfId="72" applyNumberFormat="1" applyFont="1" applyFill="1" applyBorder="1" applyAlignment="1" applyProtection="1">
      <alignment horizontal="center"/>
      <protection locked="0"/>
    </xf>
    <xf numFmtId="2" fontId="6" fillId="0" borderId="0" xfId="79" applyNumberFormat="1" applyFont="1" applyFill="1" applyBorder="1">
      <alignment/>
      <protection/>
    </xf>
    <xf numFmtId="2" fontId="0" fillId="0" borderId="0" xfId="72" applyNumberFormat="1" applyFont="1" applyFill="1">
      <alignment/>
      <protection/>
    </xf>
    <xf numFmtId="2" fontId="7" fillId="0" borderId="12" xfId="61" applyNumberFormat="1" applyFont="1" applyFill="1" applyBorder="1" applyAlignment="1">
      <alignment horizontal="center"/>
      <protection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9" fontId="5" fillId="0" borderId="0" xfId="82" applyFont="1" applyFill="1" applyBorder="1" applyAlignment="1">
      <alignment/>
    </xf>
    <xf numFmtId="0" fontId="0" fillId="36" borderId="0" xfId="0" applyFont="1" applyFill="1" applyAlignment="1">
      <alignment horizontal="right"/>
    </xf>
    <xf numFmtId="0" fontId="0" fillId="36" borderId="12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vertical="top" wrapText="1"/>
    </xf>
    <xf numFmtId="2" fontId="0" fillId="36" borderId="12" xfId="0" applyNumberFormat="1" applyFont="1" applyFill="1" applyBorder="1" applyAlignment="1">
      <alignment horizontal="center" vertical="center"/>
    </xf>
    <xf numFmtId="9" fontId="5" fillId="36" borderId="12" xfId="82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right" vertical="top" wrapText="1"/>
    </xf>
    <xf numFmtId="0" fontId="0" fillId="0" borderId="50" xfId="0" applyFont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 wrapText="1"/>
    </xf>
    <xf numFmtId="2" fontId="0" fillId="36" borderId="12" xfId="0" applyNumberFormat="1" applyFont="1" applyFill="1" applyBorder="1" applyAlignment="1">
      <alignment/>
    </xf>
    <xf numFmtId="2" fontId="0" fillId="38" borderId="12" xfId="0" applyNumberFormat="1" applyFont="1" applyFill="1" applyBorder="1" applyAlignment="1" quotePrefix="1">
      <alignment/>
    </xf>
    <xf numFmtId="9" fontId="0" fillId="0" borderId="12" xfId="82" applyFont="1" applyBorder="1" applyAlignment="1" quotePrefix="1">
      <alignment/>
    </xf>
    <xf numFmtId="0" fontId="0" fillId="34" borderId="12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5" fillId="34" borderId="12" xfId="0" applyNumberFormat="1" applyFont="1" applyFill="1" applyBorder="1" applyAlignment="1" quotePrefix="1">
      <alignment/>
    </xf>
    <xf numFmtId="9" fontId="5" fillId="34" borderId="12" xfId="82" applyFont="1" applyFill="1" applyBorder="1" applyAlignment="1">
      <alignment/>
    </xf>
    <xf numFmtId="0" fontId="11" fillId="0" borderId="3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5" fillId="38" borderId="12" xfId="0" applyNumberFormat="1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right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18" fillId="34" borderId="1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left" vertical="center"/>
    </xf>
    <xf numFmtId="2" fontId="0" fillId="36" borderId="16" xfId="0" applyNumberFormat="1" applyFont="1" applyFill="1" applyBorder="1" applyAlignment="1">
      <alignment horizontal="center"/>
    </xf>
    <xf numFmtId="9" fontId="0" fillId="36" borderId="18" xfId="82" applyNumberFormat="1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top" wrapText="1"/>
    </xf>
    <xf numFmtId="0" fontId="10" fillId="36" borderId="38" xfId="0" applyFont="1" applyFill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2" fontId="0" fillId="0" borderId="28" xfId="0" applyNumberFormat="1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2" fontId="0" fillId="36" borderId="15" xfId="0" applyNumberFormat="1" applyFont="1" applyFill="1" applyBorder="1" applyAlignment="1">
      <alignment horizontal="center"/>
    </xf>
    <xf numFmtId="9" fontId="0" fillId="36" borderId="30" xfId="82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vertical="center" wrapText="1"/>
    </xf>
    <xf numFmtId="2" fontId="5" fillId="36" borderId="23" xfId="0" applyNumberFormat="1" applyFont="1" applyFill="1" applyBorder="1" applyAlignment="1">
      <alignment horizontal="center"/>
    </xf>
    <xf numFmtId="9" fontId="5" fillId="36" borderId="24" xfId="82" applyFont="1" applyFill="1" applyBorder="1" applyAlignment="1">
      <alignment horizontal="center" wrapText="1"/>
    </xf>
    <xf numFmtId="0" fontId="0" fillId="36" borderId="29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6" fillId="36" borderId="23" xfId="0" applyFont="1" applyFill="1" applyBorder="1" applyAlignment="1">
      <alignment horizontal="left" vertical="center" wrapText="1"/>
    </xf>
    <xf numFmtId="0" fontId="5" fillId="36" borderId="54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44" xfId="0" applyNumberFormat="1" applyFont="1" applyFill="1" applyBorder="1" applyAlignment="1">
      <alignment horizontal="center"/>
    </xf>
    <xf numFmtId="2" fontId="0" fillId="0" borderId="5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181" fontId="0" fillId="36" borderId="15" xfId="0" applyNumberFormat="1" applyFont="1" applyFill="1" applyBorder="1" applyAlignment="1">
      <alignment horizontal="center"/>
    </xf>
    <xf numFmtId="9" fontId="0" fillId="0" borderId="30" xfId="82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 wrapText="1"/>
    </xf>
    <xf numFmtId="9" fontId="0" fillId="0" borderId="24" xfId="82" applyFont="1" applyFill="1" applyBorder="1" applyAlignment="1">
      <alignment horizontal="center"/>
    </xf>
    <xf numFmtId="2" fontId="0" fillId="36" borderId="59" xfId="0" applyNumberFormat="1" applyFont="1" applyFill="1" applyBorder="1" applyAlignment="1">
      <alignment horizontal="center"/>
    </xf>
    <xf numFmtId="9" fontId="0" fillId="36" borderId="30" xfId="82" applyNumberFormat="1" applyFont="1" applyFill="1" applyBorder="1" applyAlignment="1">
      <alignment horizontal="center" vertical="center" wrapText="1"/>
    </xf>
    <xf numFmtId="9" fontId="5" fillId="36" borderId="24" xfId="82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9" fontId="5" fillId="0" borderId="17" xfId="8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2" fontId="0" fillId="0" borderId="38" xfId="0" applyNumberFormat="1" applyFont="1" applyFill="1" applyBorder="1" applyAlignment="1">
      <alignment vertical="center"/>
    </xf>
    <xf numFmtId="2" fontId="0" fillId="0" borderId="38" xfId="0" applyNumberFormat="1" applyFont="1" applyBorder="1" applyAlignment="1">
      <alignment vertical="center"/>
    </xf>
    <xf numFmtId="9" fontId="5" fillId="0" borderId="19" xfId="82" applyFont="1" applyBorder="1" applyAlignment="1">
      <alignment horizontal="center" vertical="center"/>
    </xf>
    <xf numFmtId="9" fontId="5" fillId="0" borderId="17" xfId="82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9" fontId="0" fillId="0" borderId="15" xfId="82" applyFont="1" applyBorder="1" applyAlignment="1">
      <alignment horizontal="center"/>
    </xf>
    <xf numFmtId="0" fontId="5" fillId="34" borderId="22" xfId="0" applyFont="1" applyFill="1" applyBorder="1" applyAlignment="1">
      <alignment horizontal="center" wrapText="1"/>
    </xf>
    <xf numFmtId="2" fontId="5" fillId="34" borderId="23" xfId="0" applyNumberFormat="1" applyFont="1" applyFill="1" applyBorder="1" applyAlignment="1">
      <alignment horizontal="center"/>
    </xf>
    <xf numFmtId="9" fontId="5" fillId="34" borderId="24" xfId="82" applyFont="1" applyFill="1" applyBorder="1" applyAlignment="1">
      <alignment horizontal="center" vertical="center"/>
    </xf>
    <xf numFmtId="9" fontId="0" fillId="36" borderId="15" xfId="82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left" vertical="center" wrapText="1"/>
    </xf>
    <xf numFmtId="9" fontId="5" fillId="36" borderId="23" xfId="82" applyNumberFormat="1" applyFont="1" applyFill="1" applyBorder="1" applyAlignment="1">
      <alignment horizontal="center" vertical="center" wrapText="1"/>
    </xf>
    <xf numFmtId="9" fontId="5" fillId="0" borderId="23" xfId="82" applyFont="1" applyBorder="1" applyAlignment="1">
      <alignment horizontal="center"/>
    </xf>
    <xf numFmtId="9" fontId="5" fillId="0" borderId="24" xfId="82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/>
    </xf>
    <xf numFmtId="0" fontId="10" fillId="0" borderId="59" xfId="0" applyFont="1" applyBorder="1" applyAlignment="1">
      <alignment horizontal="center" wrapText="1"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2" fontId="18" fillId="34" borderId="16" xfId="0" applyNumberFormat="1" applyFont="1" applyFill="1" applyBorder="1" applyAlignment="1">
      <alignment horizontal="center"/>
    </xf>
    <xf numFmtId="1" fontId="0" fillId="0" borderId="12" xfId="82" applyNumberFormat="1" applyFont="1" applyFill="1" applyBorder="1" applyAlignment="1">
      <alignment horizontal="center" vertical="center"/>
    </xf>
    <xf numFmtId="2" fontId="0" fillId="0" borderId="12" xfId="82" applyNumberFormat="1" applyFont="1" applyFill="1" applyBorder="1" applyAlignment="1">
      <alignment horizontal="center" vertical="center"/>
    </xf>
    <xf numFmtId="184" fontId="0" fillId="0" borderId="12" xfId="82" applyNumberFormat="1" applyFont="1" applyFill="1" applyBorder="1" applyAlignment="1">
      <alignment horizontal="center" vertical="center"/>
    </xf>
    <xf numFmtId="1" fontId="0" fillId="36" borderId="12" xfId="0" applyNumberFormat="1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4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0" fontId="5" fillId="0" borderId="34" xfId="0" applyFont="1" applyBorder="1" applyAlignment="1">
      <alignment horizontal="left"/>
    </xf>
    <xf numFmtId="0" fontId="0" fillId="36" borderId="12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0" fillId="0" borderId="60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53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6" fillId="36" borderId="0" xfId="0" applyFont="1" applyFill="1" applyAlignment="1">
      <alignment horizontal="left"/>
    </xf>
    <xf numFmtId="0" fontId="5" fillId="34" borderId="31" xfId="0" applyFont="1" applyFill="1" applyBorder="1" applyAlignment="1">
      <alignment horizontal="right"/>
    </xf>
    <xf numFmtId="0" fontId="5" fillId="34" borderId="53" xfId="0" applyFont="1" applyFill="1" applyBorder="1" applyAlignment="1">
      <alignment horizontal="right"/>
    </xf>
    <xf numFmtId="0" fontId="5" fillId="34" borderId="3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right"/>
    </xf>
    <xf numFmtId="0" fontId="0" fillId="0" borderId="41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34" borderId="62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10" fillId="0" borderId="34" xfId="72" applyFont="1" applyFill="1" applyBorder="1" applyAlignment="1">
      <alignment horizontal="right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/>
    </xf>
    <xf numFmtId="0" fontId="5" fillId="36" borderId="32" xfId="0" applyFont="1" applyFill="1" applyBorder="1" applyAlignment="1">
      <alignment horizontal="center"/>
    </xf>
    <xf numFmtId="0" fontId="5" fillId="36" borderId="31" xfId="0" applyFont="1" applyFill="1" applyBorder="1" applyAlignment="1">
      <alignment horizontal="center" vertical="top" wrapText="1"/>
    </xf>
    <xf numFmtId="0" fontId="5" fillId="36" borderId="32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3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/>
    </xf>
    <xf numFmtId="0" fontId="0" fillId="36" borderId="15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9" fontId="5" fillId="36" borderId="15" xfId="82" applyFont="1" applyFill="1" applyBorder="1" applyAlignment="1">
      <alignment horizontal="center" vertical="center"/>
    </xf>
    <xf numFmtId="9" fontId="5" fillId="36" borderId="16" xfId="82" applyFont="1" applyFill="1" applyBorder="1" applyAlignment="1">
      <alignment horizontal="center" vertical="center"/>
    </xf>
    <xf numFmtId="2" fontId="5" fillId="36" borderId="15" xfId="0" applyNumberFormat="1" applyFont="1" applyFill="1" applyBorder="1" applyAlignment="1">
      <alignment horizontal="center" vertical="center"/>
    </xf>
    <xf numFmtId="2" fontId="5" fillId="36" borderId="16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36" borderId="41" xfId="0" applyFont="1" applyFill="1" applyBorder="1" applyAlignment="1">
      <alignment horizontal="left" vertical="center" wrapText="1"/>
    </xf>
    <xf numFmtId="2" fontId="0" fillId="36" borderId="15" xfId="0" applyNumberFormat="1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2 2 2" xfId="64"/>
    <cellStyle name="Normal 2 2 3" xfId="65"/>
    <cellStyle name="Normal 2 2 4" xfId="66"/>
    <cellStyle name="Normal 2 2 5" xfId="67"/>
    <cellStyle name="Normal 2 3" xfId="68"/>
    <cellStyle name="Normal 2 3 2" xfId="69"/>
    <cellStyle name="Normal 2 4" xfId="70"/>
    <cellStyle name="Normal 2 5" xfId="71"/>
    <cellStyle name="Normal 3" xfId="72"/>
    <cellStyle name="Normal 3 2" xfId="73"/>
    <cellStyle name="Normal 4" xfId="74"/>
    <cellStyle name="Normal 5" xfId="75"/>
    <cellStyle name="Normal 5 2" xfId="76"/>
    <cellStyle name="Normal 7" xfId="77"/>
    <cellStyle name="Normal 8" xfId="78"/>
    <cellStyle name="Normal_calculation -utt" xfId="79"/>
    <cellStyle name="Note" xfId="80"/>
    <cellStyle name="Output" xfId="81"/>
    <cellStyle name="Percent" xfId="82"/>
    <cellStyle name="Percent 2" xfId="83"/>
    <cellStyle name="Percent 2 2" xfId="84"/>
    <cellStyle name="Percent 3" xfId="85"/>
    <cellStyle name="Percent 4" xfId="86"/>
    <cellStyle name="Percent 5" xfId="87"/>
    <cellStyle name="Percent 6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200</xdr:row>
      <xdr:rowOff>9525</xdr:rowOff>
    </xdr:from>
    <xdr:to>
      <xdr:col>6</xdr:col>
      <xdr:colOff>552450</xdr:colOff>
      <xdr:row>200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200650" y="44062650"/>
          <a:ext cx="1695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4</xdr:col>
      <xdr:colOff>742950</xdr:colOff>
      <xdr:row>200</xdr:row>
      <xdr:rowOff>9525</xdr:rowOff>
    </xdr:from>
    <xdr:to>
      <xdr:col>5</xdr:col>
      <xdr:colOff>257175</xdr:colOff>
      <xdr:row>200</xdr:row>
      <xdr:rowOff>9525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4857750" y="440626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6"/>
  <sheetViews>
    <sheetView tabSelected="1" view="pageBreakPreview" zoomScaleNormal="85" zoomScaleSheetLayoutView="100" zoomScalePageLayoutView="0" workbookViewId="0" topLeftCell="A559">
      <selection activeCell="H584" sqref="H584"/>
    </sheetView>
  </sheetViews>
  <sheetFormatPr defaultColWidth="9.140625" defaultRowHeight="12.75"/>
  <cols>
    <col min="1" max="1" width="8.57421875" style="4" customWidth="1"/>
    <col min="2" max="2" width="19.140625" style="4" customWidth="1"/>
    <col min="3" max="3" width="16.421875" style="4" customWidth="1"/>
    <col min="4" max="4" width="17.57421875" style="4" customWidth="1"/>
    <col min="5" max="5" width="15.7109375" style="4" customWidth="1"/>
    <col min="6" max="6" width="17.7109375" style="4" customWidth="1"/>
    <col min="7" max="7" width="16.00390625" style="4" customWidth="1"/>
    <col min="8" max="8" width="15.8515625" style="4" customWidth="1"/>
    <col min="9" max="9" width="9.8515625" style="4" bestFit="1" customWidth="1"/>
    <col min="10" max="10" width="15.7109375" style="4" customWidth="1"/>
    <col min="11" max="11" width="14.28125" style="4" customWidth="1"/>
    <col min="12" max="12" width="1.28515625" style="4" customWidth="1"/>
    <col min="13" max="13" width="12.140625" style="4" customWidth="1"/>
    <col min="14" max="14" width="10.421875" style="4" customWidth="1"/>
    <col min="15" max="15" width="11.140625" style="4" customWidth="1"/>
    <col min="16" max="16" width="3.00390625" style="4" customWidth="1"/>
    <col min="17" max="17" width="12.7109375" style="4" customWidth="1"/>
    <col min="18" max="18" width="11.7109375" style="4" customWidth="1"/>
    <col min="19" max="19" width="10.140625" style="4" customWidth="1"/>
    <col min="20" max="20" width="2.140625" style="4" customWidth="1"/>
    <col min="21" max="16384" width="9.140625" style="4" customWidth="1"/>
  </cols>
  <sheetData>
    <row r="1" spans="1:8" ht="15">
      <c r="A1" s="645" t="s">
        <v>54</v>
      </c>
      <c r="B1" s="646"/>
      <c r="C1" s="646"/>
      <c r="D1" s="646"/>
      <c r="E1" s="646"/>
      <c r="F1" s="646"/>
      <c r="G1" s="646"/>
      <c r="H1" s="647"/>
    </row>
    <row r="2" spans="1:8" ht="15">
      <c r="A2" s="648" t="s">
        <v>14</v>
      </c>
      <c r="B2" s="649"/>
      <c r="C2" s="649"/>
      <c r="D2" s="649"/>
      <c r="E2" s="649"/>
      <c r="F2" s="649"/>
      <c r="G2" s="649"/>
      <c r="H2" s="650"/>
    </row>
    <row r="3" spans="1:8" ht="15">
      <c r="A3" s="648" t="s">
        <v>264</v>
      </c>
      <c r="B3" s="649"/>
      <c r="C3" s="649"/>
      <c r="D3" s="649"/>
      <c r="E3" s="649"/>
      <c r="F3" s="649"/>
      <c r="G3" s="649"/>
      <c r="H3" s="650"/>
    </row>
    <row r="4" spans="1:8" ht="5.25" customHeight="1">
      <c r="A4" s="178"/>
      <c r="B4" s="179"/>
      <c r="C4" s="179"/>
      <c r="D4" s="179"/>
      <c r="E4" s="179"/>
      <c r="F4" s="179"/>
      <c r="G4" s="180"/>
      <c r="H4" s="181"/>
    </row>
    <row r="5" spans="1:8" ht="15">
      <c r="A5" s="651" t="s">
        <v>130</v>
      </c>
      <c r="B5" s="652"/>
      <c r="C5" s="652"/>
      <c r="D5" s="652"/>
      <c r="E5" s="652"/>
      <c r="F5" s="652"/>
      <c r="G5" s="652"/>
      <c r="H5" s="653"/>
    </row>
    <row r="6" spans="1:8" ht="5.25" customHeight="1">
      <c r="A6" s="182"/>
      <c r="B6" s="182"/>
      <c r="C6" s="182"/>
      <c r="D6" s="182"/>
      <c r="E6" s="182"/>
      <c r="F6" s="182"/>
      <c r="G6" s="183"/>
      <c r="H6" s="183"/>
    </row>
    <row r="7" spans="1:8" ht="15">
      <c r="A7" s="658" t="s">
        <v>233</v>
      </c>
      <c r="B7" s="658"/>
      <c r="C7" s="658"/>
      <c r="D7" s="658"/>
      <c r="E7" s="658"/>
      <c r="F7" s="658"/>
      <c r="G7" s="658"/>
      <c r="H7" s="658"/>
    </row>
    <row r="8" spans="1:8" ht="10.5" customHeight="1">
      <c r="A8" s="183"/>
      <c r="B8" s="183"/>
      <c r="C8" s="183"/>
      <c r="D8" s="183"/>
      <c r="E8" s="183"/>
      <c r="F8" s="183"/>
      <c r="G8" s="183"/>
      <c r="H8" s="183"/>
    </row>
    <row r="9" spans="1:8" ht="15">
      <c r="A9" s="631" t="s">
        <v>265</v>
      </c>
      <c r="B9" s="631"/>
      <c r="C9" s="631"/>
      <c r="D9" s="631"/>
      <c r="E9" s="631"/>
      <c r="F9" s="631"/>
      <c r="G9" s="631"/>
      <c r="H9" s="631"/>
    </row>
    <row r="10" ht="12.75" customHeight="1"/>
    <row r="11" spans="1:8" s="14" customFormat="1" ht="15.75">
      <c r="A11" s="184" t="s">
        <v>152</v>
      </c>
      <c r="B11" s="184"/>
      <c r="C11" s="184"/>
      <c r="D11" s="184"/>
      <c r="E11" s="185"/>
      <c r="F11" s="185"/>
      <c r="G11" s="185"/>
      <c r="H11" s="185"/>
    </row>
    <row r="12" spans="1:8" ht="12.75">
      <c r="A12" s="186"/>
      <c r="B12" s="186"/>
      <c r="C12" s="186"/>
      <c r="D12" s="186"/>
      <c r="E12" s="186"/>
      <c r="F12" s="186"/>
      <c r="G12" s="186"/>
      <c r="H12" s="187"/>
    </row>
    <row r="13" spans="1:8" ht="17.25" customHeight="1" thickBot="1">
      <c r="A13" s="188" t="s">
        <v>171</v>
      </c>
      <c r="B13" s="188"/>
      <c r="C13" s="189"/>
      <c r="D13" s="190"/>
      <c r="E13" s="190"/>
      <c r="F13" s="186"/>
      <c r="G13" s="186"/>
      <c r="H13" s="186"/>
    </row>
    <row r="14" spans="1:8" ht="80.25" customHeight="1" thickBot="1">
      <c r="A14" s="191" t="s">
        <v>142</v>
      </c>
      <c r="B14" s="191" t="s">
        <v>87</v>
      </c>
      <c r="C14" s="192" t="s">
        <v>266</v>
      </c>
      <c r="D14" s="192" t="s">
        <v>295</v>
      </c>
      <c r="E14" s="191" t="s">
        <v>146</v>
      </c>
      <c r="F14" s="193" t="s">
        <v>175</v>
      </c>
      <c r="G14" s="186"/>
      <c r="H14" s="186"/>
    </row>
    <row r="15" spans="1:10" s="15" customFormat="1" ht="14.25" customHeight="1">
      <c r="A15" s="194">
        <v>1</v>
      </c>
      <c r="B15" s="195">
        <v>2</v>
      </c>
      <c r="C15" s="196">
        <v>3</v>
      </c>
      <c r="D15" s="195">
        <v>4</v>
      </c>
      <c r="E15" s="197" t="s">
        <v>147</v>
      </c>
      <c r="F15" s="198">
        <v>6</v>
      </c>
      <c r="G15" s="199"/>
      <c r="H15" s="199"/>
      <c r="J15" s="26"/>
    </row>
    <row r="16" spans="1:8" ht="12.75">
      <c r="A16" s="200">
        <v>1</v>
      </c>
      <c r="B16" s="201" t="s">
        <v>17</v>
      </c>
      <c r="C16" s="137">
        <v>87152</v>
      </c>
      <c r="D16" s="138">
        <v>82573</v>
      </c>
      <c r="E16" s="202">
        <f>D16-C16</f>
        <v>-4579</v>
      </c>
      <c r="F16" s="203">
        <f>E16/C16</f>
        <v>-0.05254038920506701</v>
      </c>
      <c r="G16" s="16"/>
      <c r="H16" s="186"/>
    </row>
    <row r="17" spans="1:8" ht="12.75">
      <c r="A17" s="200">
        <v>2</v>
      </c>
      <c r="B17" s="201" t="s">
        <v>88</v>
      </c>
      <c r="C17" s="175">
        <v>39021</v>
      </c>
      <c r="D17" s="204">
        <v>38897</v>
      </c>
      <c r="E17" s="202">
        <f>D17-C17</f>
        <v>-124</v>
      </c>
      <c r="F17" s="203">
        <f>E17/C17</f>
        <v>-0.00317777606929602</v>
      </c>
      <c r="G17" s="186"/>
      <c r="H17" s="186"/>
    </row>
    <row r="18" spans="1:6" ht="13.5" thickBot="1">
      <c r="A18" s="205"/>
      <c r="B18" s="206" t="s">
        <v>3</v>
      </c>
      <c r="C18" s="207">
        <f>SUM(C16:C17)</f>
        <v>126173</v>
      </c>
      <c r="D18" s="208">
        <f>SUM(D16:D17)</f>
        <v>121470</v>
      </c>
      <c r="E18" s="209">
        <f>D18-C18</f>
        <v>-4703</v>
      </c>
      <c r="F18" s="210">
        <f>E18/C18</f>
        <v>-0.037274218731424315</v>
      </c>
    </row>
    <row r="19" ht="21" customHeight="1"/>
    <row r="20" spans="1:4" ht="20.25" customHeight="1" thickBot="1">
      <c r="A20" s="634" t="s">
        <v>267</v>
      </c>
      <c r="B20" s="634"/>
      <c r="C20" s="634"/>
      <c r="D20" s="634"/>
    </row>
    <row r="21" spans="1:3" ht="42.75" customHeight="1">
      <c r="A21" s="211" t="s">
        <v>142</v>
      </c>
      <c r="B21" s="212" t="s">
        <v>143</v>
      </c>
      <c r="C21" s="213" t="s">
        <v>268</v>
      </c>
    </row>
    <row r="22" spans="1:3" ht="20.25" customHeight="1">
      <c r="A22" s="214">
        <v>1</v>
      </c>
      <c r="B22" s="215" t="s">
        <v>109</v>
      </c>
      <c r="C22" s="216">
        <v>202</v>
      </c>
    </row>
    <row r="23" spans="1:3" ht="20.25" customHeight="1" thickBot="1">
      <c r="A23" s="217">
        <v>2</v>
      </c>
      <c r="B23" s="218" t="s">
        <v>144</v>
      </c>
      <c r="C23" s="219">
        <v>212</v>
      </c>
    </row>
    <row r="24" ht="20.25" customHeight="1"/>
    <row r="25" spans="1:6" ht="15.75" customHeight="1" thickBot="1">
      <c r="A25" s="220" t="s">
        <v>242</v>
      </c>
      <c r="B25" s="220"/>
      <c r="C25" s="220"/>
      <c r="D25" s="220"/>
      <c r="E25" s="16"/>
      <c r="F25" s="16"/>
    </row>
    <row r="26" spans="1:9" ht="43.5" customHeight="1">
      <c r="A26" s="211" t="s">
        <v>142</v>
      </c>
      <c r="B26" s="212" t="s">
        <v>143</v>
      </c>
      <c r="C26" s="212" t="s">
        <v>243</v>
      </c>
      <c r="D26" s="212" t="s">
        <v>145</v>
      </c>
      <c r="E26" s="474" t="s">
        <v>146</v>
      </c>
      <c r="F26" s="221" t="s">
        <v>146</v>
      </c>
      <c r="I26" s="133"/>
    </row>
    <row r="27" spans="1:6" ht="15" customHeight="1">
      <c r="A27" s="222">
        <v>1</v>
      </c>
      <c r="B27" s="215" t="s">
        <v>109</v>
      </c>
      <c r="C27" s="17">
        <v>202</v>
      </c>
      <c r="D27" s="17">
        <v>165</v>
      </c>
      <c r="E27" s="17">
        <f>D27-C27</f>
        <v>-37</v>
      </c>
      <c r="F27" s="223">
        <f>E27/C27</f>
        <v>-0.18316831683168316</v>
      </c>
    </row>
    <row r="28" spans="1:7" ht="15" customHeight="1" thickBot="1">
      <c r="A28" s="224">
        <v>2</v>
      </c>
      <c r="B28" s="218" t="s">
        <v>144</v>
      </c>
      <c r="C28" s="225">
        <v>212</v>
      </c>
      <c r="D28" s="225">
        <v>175</v>
      </c>
      <c r="E28" s="225">
        <f>D28-C28</f>
        <v>-37</v>
      </c>
      <c r="F28" s="293">
        <f>E28/C28</f>
        <v>-0.17452830188679244</v>
      </c>
      <c r="G28" s="4" t="s">
        <v>105</v>
      </c>
    </row>
    <row r="29" spans="1:5" ht="12.75" customHeight="1">
      <c r="A29" s="18"/>
      <c r="B29" s="19"/>
      <c r="C29" s="19"/>
      <c r="D29" s="189"/>
      <c r="E29" s="139"/>
    </row>
    <row r="30" spans="1:5" ht="15" customHeight="1">
      <c r="A30" s="633" t="s">
        <v>153</v>
      </c>
      <c r="B30" s="633"/>
      <c r="C30" s="633"/>
      <c r="D30" s="633"/>
      <c r="E30" s="139"/>
    </row>
    <row r="31" spans="1:5" ht="16.5" customHeight="1" thickBot="1">
      <c r="A31" s="635" t="s">
        <v>294</v>
      </c>
      <c r="B31" s="635"/>
      <c r="C31" s="635"/>
      <c r="D31" s="635"/>
      <c r="E31" s="139"/>
    </row>
    <row r="32" spans="1:7" ht="55.5" customHeight="1">
      <c r="A32" s="212" t="s">
        <v>148</v>
      </c>
      <c r="B32" s="212" t="s">
        <v>87</v>
      </c>
      <c r="C32" s="212" t="s">
        <v>83</v>
      </c>
      <c r="D32" s="226" t="s">
        <v>84</v>
      </c>
      <c r="E32" s="227" t="s">
        <v>146</v>
      </c>
      <c r="F32" s="228" t="s">
        <v>82</v>
      </c>
      <c r="G32" s="4" t="s">
        <v>105</v>
      </c>
    </row>
    <row r="33" spans="1:7" ht="12.75">
      <c r="A33" s="222">
        <v>1</v>
      </c>
      <c r="B33" s="201" t="s">
        <v>99</v>
      </c>
      <c r="C33" s="17">
        <v>17604786</v>
      </c>
      <c r="D33" s="17">
        <v>13624606</v>
      </c>
      <c r="E33" s="202">
        <f>D33-C33</f>
        <v>-3980180</v>
      </c>
      <c r="F33" s="203">
        <f>E33/C33</f>
        <v>-0.2260851111737456</v>
      </c>
      <c r="G33" s="4" t="s">
        <v>105</v>
      </c>
    </row>
    <row r="34" spans="1:6" ht="12.75">
      <c r="A34" s="222">
        <v>2</v>
      </c>
      <c r="B34" s="201" t="s">
        <v>100</v>
      </c>
      <c r="C34" s="17">
        <v>8763161</v>
      </c>
      <c r="D34" s="17">
        <v>8272511</v>
      </c>
      <c r="E34" s="202">
        <f>D34-C34</f>
        <v>-490650</v>
      </c>
      <c r="F34" s="203">
        <f>E34/C34</f>
        <v>-0.0559900702497649</v>
      </c>
    </row>
    <row r="35" spans="1:6" ht="27.75" customHeight="1" thickBot="1">
      <c r="A35" s="217">
        <v>3</v>
      </c>
      <c r="B35" s="206" t="s">
        <v>101</v>
      </c>
      <c r="C35" s="208">
        <f>SUM(C33:C34)</f>
        <v>26367947</v>
      </c>
      <c r="D35" s="208">
        <f>SUM(D33:D34)</f>
        <v>21897117</v>
      </c>
      <c r="E35" s="209">
        <f>D35-C35</f>
        <v>-4470830</v>
      </c>
      <c r="F35" s="210">
        <f>E35/C35</f>
        <v>-0.16955548340566673</v>
      </c>
    </row>
    <row r="36" spans="1:5" ht="9.75" customHeight="1">
      <c r="A36" s="140"/>
      <c r="B36" s="140"/>
      <c r="C36" s="140"/>
      <c r="D36" s="140"/>
      <c r="E36" s="139"/>
    </row>
    <row r="37" spans="1:6" ht="21" customHeight="1" thickBot="1">
      <c r="A37" s="635" t="s">
        <v>296</v>
      </c>
      <c r="B37" s="635"/>
      <c r="C37" s="635"/>
      <c r="D37" s="635"/>
      <c r="E37" s="635"/>
      <c r="F37" s="635"/>
    </row>
    <row r="38" spans="1:6" ht="66" customHeight="1">
      <c r="A38" s="229" t="s">
        <v>148</v>
      </c>
      <c r="B38" s="212" t="s">
        <v>87</v>
      </c>
      <c r="C38" s="212" t="s">
        <v>297</v>
      </c>
      <c r="D38" s="230" t="s">
        <v>299</v>
      </c>
      <c r="E38" s="213" t="s">
        <v>86</v>
      </c>
      <c r="F38" s="19"/>
    </row>
    <row r="39" spans="1:6" ht="21" customHeight="1">
      <c r="A39" s="214">
        <v>1</v>
      </c>
      <c r="B39" s="231" t="s">
        <v>102</v>
      </c>
      <c r="C39" s="475">
        <f>C33</f>
        <v>17604786</v>
      </c>
      <c r="D39" s="17">
        <f>D33</f>
        <v>13624606</v>
      </c>
      <c r="E39" s="232">
        <f>D39/C39</f>
        <v>0.7739148888262544</v>
      </c>
      <c r="F39" s="233"/>
    </row>
    <row r="40" spans="1:6" ht="21" customHeight="1">
      <c r="A40" s="214">
        <v>2</v>
      </c>
      <c r="B40" s="231" t="s">
        <v>103</v>
      </c>
      <c r="C40" s="475">
        <f>C34</f>
        <v>8763161</v>
      </c>
      <c r="D40" s="17">
        <f>D34</f>
        <v>8272511</v>
      </c>
      <c r="E40" s="232">
        <f>D40/C40</f>
        <v>0.9440099297502351</v>
      </c>
      <c r="F40" s="233"/>
    </row>
    <row r="41" spans="1:7" ht="18" customHeight="1" thickBot="1">
      <c r="A41" s="217">
        <v>3</v>
      </c>
      <c r="B41" s="206" t="s">
        <v>85</v>
      </c>
      <c r="C41" s="207">
        <f>SUM(C39:C40)</f>
        <v>26367947</v>
      </c>
      <c r="D41" s="234">
        <f>SUM(D39:D40)</f>
        <v>21897117</v>
      </c>
      <c r="E41" s="235">
        <f>D41/C41</f>
        <v>0.8304445165943333</v>
      </c>
      <c r="F41" s="20"/>
      <c r="G41" s="21"/>
    </row>
    <row r="42" spans="2:7" ht="18" customHeight="1">
      <c r="B42" s="18"/>
      <c r="C42" s="22"/>
      <c r="D42" s="23"/>
      <c r="E42" s="24"/>
      <c r="F42" s="20"/>
      <c r="G42" s="21"/>
    </row>
    <row r="43" spans="2:7" ht="18" customHeight="1">
      <c r="B43" s="236"/>
      <c r="C43" s="237"/>
      <c r="D43" s="23"/>
      <c r="E43" s="24"/>
      <c r="F43" s="20"/>
      <c r="G43" s="21"/>
    </row>
    <row r="44" spans="1:7" ht="18" customHeight="1">
      <c r="A44" s="637" t="s">
        <v>178</v>
      </c>
      <c r="B44" s="637"/>
      <c r="C44" s="637"/>
      <c r="D44" s="637"/>
      <c r="E44" s="238"/>
      <c r="G44" s="21"/>
    </row>
    <row r="45" spans="1:7" ht="18" customHeight="1">
      <c r="A45" s="140"/>
      <c r="B45" s="140"/>
      <c r="C45" s="140"/>
      <c r="D45" s="239"/>
      <c r="E45" s="238"/>
      <c r="G45" s="21"/>
    </row>
    <row r="46" spans="1:7" ht="18" customHeight="1">
      <c r="A46" s="638" t="s">
        <v>154</v>
      </c>
      <c r="B46" s="638"/>
      <c r="C46" s="638"/>
      <c r="D46" s="638"/>
      <c r="E46" s="238"/>
      <c r="G46" s="21"/>
    </row>
    <row r="47" spans="1:7" ht="18" customHeight="1">
      <c r="A47" s="21"/>
      <c r="B47" s="21"/>
      <c r="C47" s="21"/>
      <c r="D47" s="21"/>
      <c r="E47" s="21"/>
      <c r="G47" s="21"/>
    </row>
    <row r="48" spans="1:7" ht="18" customHeight="1">
      <c r="A48" s="574" t="s">
        <v>302</v>
      </c>
      <c r="B48" s="574"/>
      <c r="C48" s="574"/>
      <c r="D48" s="574"/>
      <c r="E48" s="574"/>
      <c r="F48" s="574"/>
      <c r="G48" s="21"/>
    </row>
    <row r="49" ht="18" customHeight="1" thickBot="1">
      <c r="G49" s="21"/>
    </row>
    <row r="50" spans="1:18" ht="43.5" customHeight="1">
      <c r="A50" s="211" t="s">
        <v>32</v>
      </c>
      <c r="B50" s="212" t="s">
        <v>90</v>
      </c>
      <c r="C50" s="212" t="s">
        <v>173</v>
      </c>
      <c r="D50" s="212" t="s">
        <v>91</v>
      </c>
      <c r="E50" s="240" t="s">
        <v>92</v>
      </c>
      <c r="F50" s="213" t="s">
        <v>93</v>
      </c>
      <c r="G50" s="21"/>
      <c r="I50" s="4" t="s">
        <v>215</v>
      </c>
      <c r="J50" s="27" t="s">
        <v>200</v>
      </c>
      <c r="K50" s="27" t="s">
        <v>214</v>
      </c>
      <c r="L50" s="27"/>
      <c r="M50" s="27" t="s">
        <v>3</v>
      </c>
      <c r="N50" s="97" t="s">
        <v>216</v>
      </c>
      <c r="O50" s="27" t="s">
        <v>200</v>
      </c>
      <c r="P50" s="27"/>
      <c r="Q50" s="27" t="s">
        <v>214</v>
      </c>
      <c r="R50" s="27" t="s">
        <v>3</v>
      </c>
    </row>
    <row r="51" spans="1:7" s="26" customFormat="1" ht="12.75" customHeight="1">
      <c r="A51" s="241">
        <v>1</v>
      </c>
      <c r="B51" s="242">
        <v>2</v>
      </c>
      <c r="C51" s="242">
        <v>3</v>
      </c>
      <c r="D51" s="242">
        <v>4</v>
      </c>
      <c r="E51" s="242" t="s">
        <v>95</v>
      </c>
      <c r="F51" s="243">
        <v>6</v>
      </c>
      <c r="G51" s="25"/>
    </row>
    <row r="52" spans="1:18" ht="12.75" customHeight="1">
      <c r="A52" s="222">
        <v>1</v>
      </c>
      <c r="B52" s="244" t="s">
        <v>131</v>
      </c>
      <c r="C52" s="245">
        <v>274</v>
      </c>
      <c r="D52" s="27">
        <v>274</v>
      </c>
      <c r="E52" s="27">
        <f>D52-C52</f>
        <v>0</v>
      </c>
      <c r="F52" s="203">
        <f aca="true" t="shared" si="0" ref="F52:F59">E52/C52</f>
        <v>0</v>
      </c>
      <c r="G52" s="21"/>
      <c r="J52" s="27">
        <v>276</v>
      </c>
      <c r="K52" s="27"/>
      <c r="L52" s="27"/>
      <c r="M52" s="27">
        <f>SUM(J52:K52)</f>
        <v>276</v>
      </c>
      <c r="O52" s="27"/>
      <c r="P52" s="27"/>
      <c r="Q52" s="27"/>
      <c r="R52" s="27">
        <f>SUM(O52:Q52)</f>
        <v>0</v>
      </c>
    </row>
    <row r="53" spans="1:18" ht="12.75" customHeight="1">
      <c r="A53" s="222">
        <v>2</v>
      </c>
      <c r="B53" s="244" t="s">
        <v>132</v>
      </c>
      <c r="C53" s="245">
        <v>133</v>
      </c>
      <c r="D53" s="27">
        <v>133</v>
      </c>
      <c r="E53" s="27">
        <f aca="true" t="shared" si="1" ref="E53:E59">D53-C53</f>
        <v>0</v>
      </c>
      <c r="F53" s="203">
        <f t="shared" si="0"/>
        <v>0</v>
      </c>
      <c r="G53" s="21"/>
      <c r="J53" s="27">
        <v>134</v>
      </c>
      <c r="K53" s="27"/>
      <c r="L53" s="27"/>
      <c r="M53" s="27">
        <f aca="true" t="shared" si="2" ref="M53:M59">SUM(J53:K53)</f>
        <v>134</v>
      </c>
      <c r="O53" s="27"/>
      <c r="P53" s="27"/>
      <c r="Q53" s="27"/>
      <c r="R53" s="27">
        <f aca="true" t="shared" si="3" ref="R53:R59">SUM(O53:Q53)</f>
        <v>0</v>
      </c>
    </row>
    <row r="54" spans="1:18" ht="12.75" customHeight="1">
      <c r="A54" s="222">
        <v>3</v>
      </c>
      <c r="B54" s="244" t="s">
        <v>133</v>
      </c>
      <c r="C54" s="245">
        <v>94</v>
      </c>
      <c r="D54" s="27">
        <v>94</v>
      </c>
      <c r="E54" s="27">
        <f t="shared" si="1"/>
        <v>0</v>
      </c>
      <c r="F54" s="203">
        <f t="shared" si="0"/>
        <v>0</v>
      </c>
      <c r="G54" s="21"/>
      <c r="J54" s="27">
        <v>94</v>
      </c>
      <c r="K54" s="27"/>
      <c r="L54" s="27"/>
      <c r="M54" s="27">
        <f t="shared" si="2"/>
        <v>94</v>
      </c>
      <c r="O54" s="27"/>
      <c r="P54" s="27"/>
      <c r="Q54" s="27"/>
      <c r="R54" s="27">
        <f t="shared" si="3"/>
        <v>0</v>
      </c>
    </row>
    <row r="55" spans="1:18" ht="12.75" customHeight="1">
      <c r="A55" s="222">
        <v>4</v>
      </c>
      <c r="B55" s="244" t="s">
        <v>134</v>
      </c>
      <c r="C55" s="245">
        <v>248</v>
      </c>
      <c r="D55" s="27">
        <v>248</v>
      </c>
      <c r="E55" s="27">
        <f t="shared" si="1"/>
        <v>0</v>
      </c>
      <c r="F55" s="203">
        <f t="shared" si="0"/>
        <v>0</v>
      </c>
      <c r="G55" s="21"/>
      <c r="J55" s="27">
        <v>253</v>
      </c>
      <c r="K55" s="27"/>
      <c r="L55" s="27"/>
      <c r="M55" s="27">
        <f t="shared" si="2"/>
        <v>253</v>
      </c>
      <c r="O55" s="27"/>
      <c r="P55" s="27"/>
      <c r="Q55" s="27"/>
      <c r="R55" s="27">
        <f t="shared" si="3"/>
        <v>0</v>
      </c>
    </row>
    <row r="56" spans="1:18" ht="12.75" customHeight="1">
      <c r="A56" s="222">
        <v>5</v>
      </c>
      <c r="B56" s="244" t="s">
        <v>135</v>
      </c>
      <c r="C56" s="245">
        <v>320</v>
      </c>
      <c r="D56" s="27">
        <v>320</v>
      </c>
      <c r="E56" s="27">
        <f t="shared" si="1"/>
        <v>0</v>
      </c>
      <c r="F56" s="203">
        <f t="shared" si="0"/>
        <v>0</v>
      </c>
      <c r="G56" s="21"/>
      <c r="J56" s="27">
        <v>324</v>
      </c>
      <c r="K56" s="27"/>
      <c r="L56" s="27"/>
      <c r="M56" s="27">
        <f t="shared" si="2"/>
        <v>324</v>
      </c>
      <c r="O56" s="27"/>
      <c r="P56" s="27"/>
      <c r="Q56" s="27"/>
      <c r="R56" s="27">
        <f t="shared" si="3"/>
        <v>0</v>
      </c>
    </row>
    <row r="57" spans="1:18" ht="12.75" customHeight="1">
      <c r="A57" s="222">
        <v>6</v>
      </c>
      <c r="B57" s="244" t="s">
        <v>136</v>
      </c>
      <c r="C57" s="245">
        <v>158</v>
      </c>
      <c r="D57" s="27">
        <v>158</v>
      </c>
      <c r="E57" s="27">
        <f t="shared" si="1"/>
        <v>0</v>
      </c>
      <c r="F57" s="203">
        <f t="shared" si="0"/>
        <v>0</v>
      </c>
      <c r="G57" s="21"/>
      <c r="J57" s="27">
        <v>158</v>
      </c>
      <c r="K57" s="27"/>
      <c r="L57" s="27"/>
      <c r="M57" s="27">
        <f t="shared" si="2"/>
        <v>158</v>
      </c>
      <c r="O57" s="27"/>
      <c r="P57" s="27"/>
      <c r="Q57" s="27"/>
      <c r="R57" s="27">
        <f t="shared" si="3"/>
        <v>0</v>
      </c>
    </row>
    <row r="58" spans="1:18" ht="12.75" customHeight="1">
      <c r="A58" s="222">
        <v>7</v>
      </c>
      <c r="B58" s="244" t="s">
        <v>137</v>
      </c>
      <c r="C58" s="245">
        <v>75</v>
      </c>
      <c r="D58" s="27">
        <v>75</v>
      </c>
      <c r="E58" s="27">
        <f t="shared" si="1"/>
        <v>0</v>
      </c>
      <c r="F58" s="203">
        <f t="shared" si="0"/>
        <v>0</v>
      </c>
      <c r="G58" s="21"/>
      <c r="J58" s="27">
        <v>118</v>
      </c>
      <c r="K58" s="27"/>
      <c r="L58" s="27"/>
      <c r="M58" s="27">
        <f t="shared" si="2"/>
        <v>118</v>
      </c>
      <c r="O58" s="27"/>
      <c r="P58" s="27"/>
      <c r="Q58" s="27"/>
      <c r="R58" s="27">
        <f t="shared" si="3"/>
        <v>0</v>
      </c>
    </row>
    <row r="59" spans="1:18" ht="12.75" customHeight="1" thickBot="1">
      <c r="A59" s="222">
        <v>8</v>
      </c>
      <c r="B59" s="244" t="s">
        <v>300</v>
      </c>
      <c r="C59" s="245">
        <v>118</v>
      </c>
      <c r="D59" s="27">
        <v>118</v>
      </c>
      <c r="E59" s="27">
        <f t="shared" si="1"/>
        <v>0</v>
      </c>
      <c r="F59" s="203">
        <f t="shared" si="0"/>
        <v>0</v>
      </c>
      <c r="G59" s="21"/>
      <c r="J59" s="30">
        <v>74</v>
      </c>
      <c r="K59" s="30"/>
      <c r="L59" s="30"/>
      <c r="M59" s="30">
        <f t="shared" si="2"/>
        <v>74</v>
      </c>
      <c r="O59" s="30"/>
      <c r="P59" s="30"/>
      <c r="Q59" s="30"/>
      <c r="R59" s="30">
        <f t="shared" si="3"/>
        <v>0</v>
      </c>
    </row>
    <row r="60" spans="1:18" ht="18.75" customHeight="1" thickBot="1">
      <c r="A60" s="224"/>
      <c r="B60" s="246" t="s">
        <v>56</v>
      </c>
      <c r="C60" s="258">
        <f>SUM(C52:C59)</f>
        <v>1420</v>
      </c>
      <c r="D60" s="258">
        <f>SUM(D52:D59)</f>
        <v>1420</v>
      </c>
      <c r="E60" s="247">
        <f>SUM(E52:E59)</f>
        <v>0</v>
      </c>
      <c r="F60" s="248">
        <f>SUM(F52:F59)</f>
        <v>0</v>
      </c>
      <c r="G60" s="21"/>
      <c r="J60" s="94">
        <f>SUM(J52:J59)</f>
        <v>1431</v>
      </c>
      <c r="K60" s="95">
        <f>SUM(K52:K59)</f>
        <v>0</v>
      </c>
      <c r="L60" s="498"/>
      <c r="M60" s="96">
        <f>SUM(M52:M59)</f>
        <v>1431</v>
      </c>
      <c r="O60" s="94">
        <f>SUM(O52:O59)</f>
        <v>0</v>
      </c>
      <c r="P60" s="512"/>
      <c r="Q60" s="95">
        <f>SUM(Q52:Q59)</f>
        <v>0</v>
      </c>
      <c r="R60" s="96">
        <f>SUM(R52:R59)</f>
        <v>0</v>
      </c>
    </row>
    <row r="61" spans="1:18" ht="18.75" customHeight="1">
      <c r="A61" s="53"/>
      <c r="B61" s="53"/>
      <c r="C61" s="53"/>
      <c r="D61" s="53"/>
      <c r="E61" s="53"/>
      <c r="F61" s="53"/>
      <c r="G61" s="21"/>
      <c r="J61" s="239"/>
      <c r="K61" s="239"/>
      <c r="L61" s="239"/>
      <c r="M61" s="239"/>
      <c r="O61" s="239"/>
      <c r="P61" s="239"/>
      <c r="Q61" s="239"/>
      <c r="R61" s="239"/>
    </row>
    <row r="62" spans="1:7" ht="12.75" customHeight="1">
      <c r="A62" s="636" t="s">
        <v>301</v>
      </c>
      <c r="B62" s="636"/>
      <c r="C62" s="636"/>
      <c r="D62" s="636"/>
      <c r="E62" s="636"/>
      <c r="F62" s="636"/>
      <c r="G62" s="21"/>
    </row>
    <row r="63" spans="1:15" ht="13.5" customHeight="1" thickBot="1">
      <c r="A63" s="140"/>
      <c r="B63" s="140"/>
      <c r="C63" s="140"/>
      <c r="D63" s="140"/>
      <c r="E63" s="140"/>
      <c r="F63" s="140"/>
      <c r="G63" s="140"/>
      <c r="H63" s="140"/>
      <c r="J63" s="4" t="s">
        <v>238</v>
      </c>
      <c r="O63" s="4" t="s">
        <v>216</v>
      </c>
    </row>
    <row r="64" spans="1:18" ht="45.75" customHeight="1">
      <c r="A64" s="211" t="s">
        <v>32</v>
      </c>
      <c r="B64" s="212" t="s">
        <v>90</v>
      </c>
      <c r="C64" s="212" t="s">
        <v>172</v>
      </c>
      <c r="D64" s="212" t="s">
        <v>91</v>
      </c>
      <c r="E64" s="240" t="s">
        <v>92</v>
      </c>
      <c r="F64" s="213" t="s">
        <v>93</v>
      </c>
      <c r="G64" s="21"/>
      <c r="J64" s="27" t="s">
        <v>237</v>
      </c>
      <c r="K64" s="27" t="s">
        <v>236</v>
      </c>
      <c r="L64" s="27"/>
      <c r="M64" s="27" t="s">
        <v>3</v>
      </c>
      <c r="O64" s="27" t="s">
        <v>237</v>
      </c>
      <c r="P64" s="27"/>
      <c r="Q64" s="27" t="s">
        <v>236</v>
      </c>
      <c r="R64" s="27" t="s">
        <v>3</v>
      </c>
    </row>
    <row r="65" spans="1:7" s="26" customFormat="1" ht="12.75" customHeight="1">
      <c r="A65" s="241">
        <v>1</v>
      </c>
      <c r="B65" s="242">
        <v>2</v>
      </c>
      <c r="C65" s="242">
        <v>3</v>
      </c>
      <c r="D65" s="242">
        <v>4</v>
      </c>
      <c r="E65" s="242" t="s">
        <v>95</v>
      </c>
      <c r="F65" s="243">
        <v>6</v>
      </c>
      <c r="G65" s="25"/>
    </row>
    <row r="66" spans="1:18" ht="12.75" customHeight="1">
      <c r="A66" s="222">
        <v>1</v>
      </c>
      <c r="B66" s="244" t="str">
        <f aca="true" t="shared" si="4" ref="B66:B73">B52</f>
        <v>Aizawl</v>
      </c>
      <c r="C66" s="245">
        <v>234</v>
      </c>
      <c r="D66" s="27">
        <v>234</v>
      </c>
      <c r="E66" s="27">
        <f aca="true" t="shared" si="5" ref="E66:E74">C66-D66</f>
        <v>0</v>
      </c>
      <c r="F66" s="203">
        <f aca="true" t="shared" si="6" ref="F66:F74">E66/C66</f>
        <v>0</v>
      </c>
      <c r="G66" s="21"/>
      <c r="J66" s="27">
        <v>0</v>
      </c>
      <c r="K66" s="27">
        <v>234</v>
      </c>
      <c r="L66" s="27"/>
      <c r="M66" s="27">
        <f>SUM(J66:K66)</f>
        <v>234</v>
      </c>
      <c r="O66" s="27">
        <v>0</v>
      </c>
      <c r="P66" s="27"/>
      <c r="Q66" s="27">
        <v>234</v>
      </c>
      <c r="R66" s="27">
        <f>SUM(O66:Q66)</f>
        <v>234</v>
      </c>
    </row>
    <row r="67" spans="1:18" ht="13.5" customHeight="1">
      <c r="A67" s="222">
        <v>2</v>
      </c>
      <c r="B67" s="244" t="str">
        <f t="shared" si="4"/>
        <v>Champhai</v>
      </c>
      <c r="C67" s="245">
        <v>125</v>
      </c>
      <c r="D67" s="27">
        <v>125</v>
      </c>
      <c r="E67" s="27">
        <f t="shared" si="5"/>
        <v>0</v>
      </c>
      <c r="F67" s="203">
        <f t="shared" si="6"/>
        <v>0</v>
      </c>
      <c r="G67" s="21"/>
      <c r="J67" s="27">
        <v>3</v>
      </c>
      <c r="K67" s="27">
        <v>125</v>
      </c>
      <c r="L67" s="27"/>
      <c r="M67" s="27">
        <f aca="true" t="shared" si="7" ref="M67:M73">SUM(J67:K67)</f>
        <v>128</v>
      </c>
      <c r="O67" s="27">
        <v>3</v>
      </c>
      <c r="P67" s="27"/>
      <c r="Q67" s="27">
        <v>125</v>
      </c>
      <c r="R67" s="27">
        <f aca="true" t="shared" si="8" ref="R67:R73">SUM(O67:Q67)</f>
        <v>128</v>
      </c>
    </row>
    <row r="68" spans="1:18" ht="14.25" customHeight="1">
      <c r="A68" s="222">
        <v>3</v>
      </c>
      <c r="B68" s="244" t="str">
        <f t="shared" si="4"/>
        <v>Kolasib</v>
      </c>
      <c r="C68" s="245">
        <v>80</v>
      </c>
      <c r="D68" s="27">
        <v>80</v>
      </c>
      <c r="E68" s="27">
        <f t="shared" si="5"/>
        <v>0</v>
      </c>
      <c r="F68" s="203">
        <f t="shared" si="6"/>
        <v>0</v>
      </c>
      <c r="G68" s="21"/>
      <c r="J68" s="27">
        <v>0</v>
      </c>
      <c r="K68" s="27">
        <v>79</v>
      </c>
      <c r="L68" s="27"/>
      <c r="M68" s="27">
        <f t="shared" si="7"/>
        <v>79</v>
      </c>
      <c r="O68" s="27">
        <v>0</v>
      </c>
      <c r="P68" s="27"/>
      <c r="Q68" s="27">
        <v>79</v>
      </c>
      <c r="R68" s="27">
        <f t="shared" si="8"/>
        <v>79</v>
      </c>
    </row>
    <row r="69" spans="1:18" ht="12.75" customHeight="1">
      <c r="A69" s="222">
        <v>4</v>
      </c>
      <c r="B69" s="244" t="str">
        <f t="shared" si="4"/>
        <v>Lawngtlai</v>
      </c>
      <c r="C69" s="245">
        <v>166</v>
      </c>
      <c r="D69" s="27">
        <v>166</v>
      </c>
      <c r="E69" s="27">
        <f t="shared" si="5"/>
        <v>0</v>
      </c>
      <c r="F69" s="203">
        <f t="shared" si="6"/>
        <v>0</v>
      </c>
      <c r="G69" s="21"/>
      <c r="J69" s="27">
        <v>2</v>
      </c>
      <c r="K69" s="27">
        <v>163</v>
      </c>
      <c r="L69" s="27"/>
      <c r="M69" s="27">
        <f t="shared" si="7"/>
        <v>165</v>
      </c>
      <c r="O69" s="27">
        <v>2</v>
      </c>
      <c r="P69" s="27"/>
      <c r="Q69" s="27">
        <v>163</v>
      </c>
      <c r="R69" s="27">
        <f t="shared" si="8"/>
        <v>165</v>
      </c>
    </row>
    <row r="70" spans="1:18" ht="12.75" customHeight="1">
      <c r="A70" s="222">
        <v>5</v>
      </c>
      <c r="B70" s="244" t="str">
        <f t="shared" si="4"/>
        <v>Lunglei</v>
      </c>
      <c r="C70" s="245">
        <v>224</v>
      </c>
      <c r="D70" s="27">
        <v>224</v>
      </c>
      <c r="E70" s="27">
        <f t="shared" si="5"/>
        <v>0</v>
      </c>
      <c r="F70" s="203">
        <f t="shared" si="6"/>
        <v>0</v>
      </c>
      <c r="G70" s="21"/>
      <c r="J70" s="27">
        <v>0</v>
      </c>
      <c r="K70" s="27">
        <v>227</v>
      </c>
      <c r="L70" s="27"/>
      <c r="M70" s="27">
        <f t="shared" si="7"/>
        <v>227</v>
      </c>
      <c r="O70" s="27">
        <v>0</v>
      </c>
      <c r="P70" s="27"/>
      <c r="Q70" s="27">
        <v>227</v>
      </c>
      <c r="R70" s="27">
        <f t="shared" si="8"/>
        <v>227</v>
      </c>
    </row>
    <row r="71" spans="1:18" ht="12.75" customHeight="1">
      <c r="A71" s="222">
        <v>6</v>
      </c>
      <c r="B71" s="244" t="str">
        <f t="shared" si="4"/>
        <v>Mamit</v>
      </c>
      <c r="C71" s="245">
        <v>119</v>
      </c>
      <c r="D71" s="27">
        <v>119</v>
      </c>
      <c r="E71" s="27">
        <f t="shared" si="5"/>
        <v>0</v>
      </c>
      <c r="F71" s="203">
        <f t="shared" si="6"/>
        <v>0</v>
      </c>
      <c r="G71" s="21"/>
      <c r="J71" s="27">
        <v>2</v>
      </c>
      <c r="K71" s="27">
        <v>117</v>
      </c>
      <c r="L71" s="27"/>
      <c r="M71" s="27">
        <f t="shared" si="7"/>
        <v>119</v>
      </c>
      <c r="O71" s="27">
        <v>2</v>
      </c>
      <c r="P71" s="27"/>
      <c r="Q71" s="27">
        <v>117</v>
      </c>
      <c r="R71" s="27">
        <f t="shared" si="8"/>
        <v>119</v>
      </c>
    </row>
    <row r="72" spans="1:18" ht="12.75" customHeight="1">
      <c r="A72" s="222">
        <v>7</v>
      </c>
      <c r="B72" s="244" t="str">
        <f t="shared" si="4"/>
        <v>Serchhip</v>
      </c>
      <c r="C72" s="245">
        <v>67</v>
      </c>
      <c r="D72" s="27">
        <v>67</v>
      </c>
      <c r="E72" s="27">
        <f t="shared" si="5"/>
        <v>0</v>
      </c>
      <c r="F72" s="203">
        <f t="shared" si="6"/>
        <v>0</v>
      </c>
      <c r="G72" s="21" t="s">
        <v>105</v>
      </c>
      <c r="J72" s="27">
        <v>0</v>
      </c>
      <c r="K72" s="27">
        <v>76</v>
      </c>
      <c r="L72" s="27"/>
      <c r="M72" s="27">
        <f t="shared" si="7"/>
        <v>76</v>
      </c>
      <c r="O72" s="27">
        <v>0</v>
      </c>
      <c r="P72" s="27"/>
      <c r="Q72" s="27">
        <v>76</v>
      </c>
      <c r="R72" s="27">
        <f t="shared" si="8"/>
        <v>76</v>
      </c>
    </row>
    <row r="73" spans="1:18" ht="12.75" customHeight="1" thickBot="1">
      <c r="A73" s="249">
        <v>8</v>
      </c>
      <c r="B73" s="244" t="str">
        <f t="shared" si="4"/>
        <v>Siaha</v>
      </c>
      <c r="C73" s="250">
        <v>76</v>
      </c>
      <c r="D73" s="30">
        <v>76</v>
      </c>
      <c r="E73" s="30">
        <f t="shared" si="5"/>
        <v>0</v>
      </c>
      <c r="F73" s="251">
        <f t="shared" si="6"/>
        <v>0</v>
      </c>
      <c r="G73" s="21"/>
      <c r="J73" s="30">
        <v>0</v>
      </c>
      <c r="K73" s="30">
        <v>65</v>
      </c>
      <c r="L73" s="30"/>
      <c r="M73" s="30">
        <f t="shared" si="7"/>
        <v>65</v>
      </c>
      <c r="O73" s="30">
        <v>0</v>
      </c>
      <c r="P73" s="30"/>
      <c r="Q73" s="30">
        <v>65</v>
      </c>
      <c r="R73" s="30">
        <f t="shared" si="8"/>
        <v>65</v>
      </c>
    </row>
    <row r="74" spans="1:18" ht="18.75" customHeight="1" thickBot="1">
      <c r="A74" s="252"/>
      <c r="B74" s="253" t="s">
        <v>56</v>
      </c>
      <c r="C74" s="258">
        <f>SUM(C66:C73)</f>
        <v>1091</v>
      </c>
      <c r="D74" s="258">
        <f>SUM(D66:D73)</f>
        <v>1091</v>
      </c>
      <c r="E74" s="254">
        <f t="shared" si="5"/>
        <v>0</v>
      </c>
      <c r="F74" s="255">
        <f t="shared" si="6"/>
        <v>0</v>
      </c>
      <c r="G74" s="21"/>
      <c r="J74" s="94">
        <v>7</v>
      </c>
      <c r="K74" s="95">
        <v>1084</v>
      </c>
      <c r="L74" s="498"/>
      <c r="M74" s="96">
        <f>SUM(M66:M73)</f>
        <v>1093</v>
      </c>
      <c r="O74" s="94">
        <v>7</v>
      </c>
      <c r="P74" s="512"/>
      <c r="Q74" s="95">
        <v>1084</v>
      </c>
      <c r="R74" s="96">
        <f>SUM(R66:R73)</f>
        <v>1093</v>
      </c>
    </row>
    <row r="75" spans="1:7" ht="12.75" customHeight="1">
      <c r="A75" s="18"/>
      <c r="B75" s="239"/>
      <c r="C75" s="239"/>
      <c r="D75" s="239"/>
      <c r="E75" s="239"/>
      <c r="G75" s="21"/>
    </row>
    <row r="76" spans="1:7" ht="19.5" customHeight="1">
      <c r="A76" s="632" t="s">
        <v>155</v>
      </c>
      <c r="B76" s="632"/>
      <c r="C76" s="632"/>
      <c r="D76" s="239"/>
      <c r="E76" s="239"/>
      <c r="G76" s="21"/>
    </row>
    <row r="77" spans="1:7" ht="12.75" customHeight="1">
      <c r="A77" s="18"/>
      <c r="B77" s="239"/>
      <c r="C77" s="239"/>
      <c r="D77" s="239"/>
      <c r="E77" s="239"/>
      <c r="G77" s="21"/>
    </row>
    <row r="78" spans="1:11" ht="12.75" customHeight="1">
      <c r="A78" s="18"/>
      <c r="B78" s="239"/>
      <c r="C78" s="239"/>
      <c r="D78" s="239"/>
      <c r="E78" s="239"/>
      <c r="G78" s="21"/>
      <c r="K78" s="4">
        <f>B75/10000000</f>
        <v>0</v>
      </c>
    </row>
    <row r="79" spans="1:8" ht="17.25" customHeight="1">
      <c r="A79" s="573" t="s">
        <v>306</v>
      </c>
      <c r="B79" s="573"/>
      <c r="C79" s="573"/>
      <c r="D79" s="573"/>
      <c r="E79" s="573"/>
      <c r="F79" s="573"/>
      <c r="G79" s="573"/>
      <c r="H79" s="573"/>
    </row>
    <row r="80" spans="1:7" ht="12.75" customHeight="1" thickBot="1">
      <c r="A80" s="140"/>
      <c r="B80" s="140"/>
      <c r="C80" s="140"/>
      <c r="D80" s="140"/>
      <c r="E80" s="140"/>
      <c r="F80" s="140"/>
      <c r="G80" s="140"/>
    </row>
    <row r="81" spans="1:7" ht="64.5" customHeight="1">
      <c r="A81" s="211" t="s">
        <v>32</v>
      </c>
      <c r="B81" s="212" t="s">
        <v>90</v>
      </c>
      <c r="C81" s="212" t="s">
        <v>269</v>
      </c>
      <c r="D81" s="212" t="s">
        <v>202</v>
      </c>
      <c r="E81" s="240" t="s">
        <v>30</v>
      </c>
      <c r="F81" s="213" t="s">
        <v>31</v>
      </c>
      <c r="G81" s="21"/>
    </row>
    <row r="82" spans="1:10" s="26" customFormat="1" ht="12.75" customHeight="1">
      <c r="A82" s="241">
        <v>1</v>
      </c>
      <c r="B82" s="242">
        <v>2</v>
      </c>
      <c r="C82" s="242">
        <v>3</v>
      </c>
      <c r="D82" s="242">
        <v>4</v>
      </c>
      <c r="E82" s="242" t="s">
        <v>94</v>
      </c>
      <c r="F82" s="243">
        <v>6</v>
      </c>
      <c r="G82" s="25"/>
      <c r="J82" s="25"/>
    </row>
    <row r="83" spans="1:10" ht="12.75" customHeight="1">
      <c r="A83" s="222">
        <v>1</v>
      </c>
      <c r="B83" s="244" t="s">
        <v>131</v>
      </c>
      <c r="C83" s="256">
        <v>16001.359442046722</v>
      </c>
      <c r="D83" s="17">
        <v>14819.198381864644</v>
      </c>
      <c r="E83" s="17">
        <f aca="true" t="shared" si="9" ref="E83:E90">D83-C83</f>
        <v>-1182.1610601820776</v>
      </c>
      <c r="F83" s="203">
        <f aca="true" t="shared" si="10" ref="F83:F91">E83/C83</f>
        <v>-0.07387878914060993</v>
      </c>
      <c r="G83" s="21"/>
      <c r="J83" s="31"/>
    </row>
    <row r="84" spans="1:10" ht="12.75" customHeight="1">
      <c r="A84" s="222">
        <v>2</v>
      </c>
      <c r="B84" s="244" t="s">
        <v>132</v>
      </c>
      <c r="C84" s="256">
        <v>7990.548780890834</v>
      </c>
      <c r="D84" s="17">
        <v>7268.211799953539</v>
      </c>
      <c r="E84" s="17">
        <f t="shared" si="9"/>
        <v>-722.3369809372944</v>
      </c>
      <c r="F84" s="203">
        <f t="shared" si="10"/>
        <v>-0.0903989201173194</v>
      </c>
      <c r="G84" s="21"/>
      <c r="J84" s="31"/>
    </row>
    <row r="85" spans="1:10" ht="12.75" customHeight="1">
      <c r="A85" s="222">
        <v>3</v>
      </c>
      <c r="B85" s="244" t="s">
        <v>133</v>
      </c>
      <c r="C85" s="256">
        <v>6592.479042602189</v>
      </c>
      <c r="D85" s="17">
        <v>6919.504000000001</v>
      </c>
      <c r="E85" s="17">
        <f t="shared" si="9"/>
        <v>327.0249573978117</v>
      </c>
      <c r="F85" s="203">
        <f t="shared" si="10"/>
        <v>0.04960576367167761</v>
      </c>
      <c r="G85" s="21"/>
      <c r="J85" s="31"/>
    </row>
    <row r="86" spans="1:10" ht="12.75" customHeight="1">
      <c r="A86" s="222">
        <v>4</v>
      </c>
      <c r="B86" s="244" t="s">
        <v>134</v>
      </c>
      <c r="C86" s="256">
        <v>18037.818258501695</v>
      </c>
      <c r="D86" s="17">
        <v>16922.83684848485</v>
      </c>
      <c r="E86" s="17">
        <f t="shared" si="9"/>
        <v>-1114.9814100168442</v>
      </c>
      <c r="F86" s="203">
        <f t="shared" si="10"/>
        <v>-0.061813540531229394</v>
      </c>
      <c r="G86" s="21"/>
      <c r="J86" s="31"/>
    </row>
    <row r="87" spans="1:10" ht="12.75" customHeight="1">
      <c r="A87" s="222">
        <v>5</v>
      </c>
      <c r="B87" s="244" t="s">
        <v>135</v>
      </c>
      <c r="C87" s="256">
        <v>17256.740480488603</v>
      </c>
      <c r="D87" s="17">
        <v>16504.248</v>
      </c>
      <c r="E87" s="17">
        <f t="shared" si="9"/>
        <v>-752.4924804886032</v>
      </c>
      <c r="F87" s="203">
        <f t="shared" si="10"/>
        <v>-0.043605713450892515</v>
      </c>
      <c r="G87" s="21"/>
      <c r="J87" s="31"/>
    </row>
    <row r="88" spans="1:10" ht="12.75" customHeight="1">
      <c r="A88" s="222">
        <v>6</v>
      </c>
      <c r="B88" s="244" t="s">
        <v>136</v>
      </c>
      <c r="C88" s="256">
        <v>10361.188771902016</v>
      </c>
      <c r="D88" s="17">
        <v>9991.294787878787</v>
      </c>
      <c r="E88" s="17">
        <f t="shared" si="9"/>
        <v>-369.89398402322877</v>
      </c>
      <c r="F88" s="203">
        <f t="shared" si="10"/>
        <v>-0.0356999560732187</v>
      </c>
      <c r="G88" s="21"/>
      <c r="I88" s="21"/>
      <c r="J88" s="31"/>
    </row>
    <row r="89" spans="1:10" ht="12.75" customHeight="1">
      <c r="A89" s="222">
        <v>7</v>
      </c>
      <c r="B89" s="244" t="s">
        <v>137</v>
      </c>
      <c r="C89" s="256">
        <v>3697.8322653530904</v>
      </c>
      <c r="D89" s="17">
        <v>3504.0904242424244</v>
      </c>
      <c r="E89" s="17">
        <f t="shared" si="9"/>
        <v>-193.74184111066597</v>
      </c>
      <c r="F89" s="203">
        <f t="shared" si="10"/>
        <v>-0.05239335567649561</v>
      </c>
      <c r="G89" s="21"/>
      <c r="H89" s="4" t="s">
        <v>105</v>
      </c>
      <c r="J89" s="31"/>
    </row>
    <row r="90" spans="1:10" ht="12.75" customHeight="1">
      <c r="A90" s="222">
        <v>8</v>
      </c>
      <c r="B90" s="244" t="s">
        <v>300</v>
      </c>
      <c r="C90" s="256">
        <v>7214.439096828712</v>
      </c>
      <c r="D90" s="17">
        <v>6643.983515151515</v>
      </c>
      <c r="E90" s="17">
        <f t="shared" si="9"/>
        <v>-570.4555816771963</v>
      </c>
      <c r="F90" s="203">
        <f t="shared" si="10"/>
        <v>-0.07907136979338482</v>
      </c>
      <c r="G90" s="21"/>
      <c r="J90" s="31"/>
    </row>
    <row r="91" spans="1:12" s="13" customFormat="1" ht="18" customHeight="1" thickBot="1">
      <c r="A91" s="257"/>
      <c r="B91" s="246" t="s">
        <v>56</v>
      </c>
      <c r="C91" s="258">
        <f>SUM(C83:C90)</f>
        <v>87152.40613861385</v>
      </c>
      <c r="D91" s="258">
        <f>SUM(D83:D90)</f>
        <v>82573.36775757576</v>
      </c>
      <c r="E91" s="259">
        <f>SUM(E83:E90)</f>
        <v>-4579.038381038099</v>
      </c>
      <c r="F91" s="260">
        <f t="shared" si="10"/>
        <v>-0.052540584751673364</v>
      </c>
      <c r="G91" s="261"/>
      <c r="I91" s="4"/>
      <c r="J91" s="32"/>
      <c r="K91" s="4"/>
      <c r="L91" s="4"/>
    </row>
    <row r="92" spans="1:7" ht="12.75" customHeight="1">
      <c r="A92" s="18"/>
      <c r="B92" s="22"/>
      <c r="C92" s="28"/>
      <c r="D92" s="28"/>
      <c r="E92" s="28"/>
      <c r="F92" s="29"/>
      <c r="G92" s="21"/>
    </row>
    <row r="93" spans="1:10" ht="15">
      <c r="A93" s="573" t="s">
        <v>305</v>
      </c>
      <c r="B93" s="573"/>
      <c r="C93" s="573"/>
      <c r="D93" s="573"/>
      <c r="E93" s="573"/>
      <c r="F93" s="573"/>
      <c r="G93" s="573"/>
      <c r="H93" s="573"/>
      <c r="J93" s="33"/>
    </row>
    <row r="94" spans="1:10" ht="12.75" customHeight="1" thickBot="1">
      <c r="A94" s="140"/>
      <c r="B94" s="140"/>
      <c r="C94" s="140"/>
      <c r="D94" s="140"/>
      <c r="E94" s="140"/>
      <c r="F94" s="140"/>
      <c r="G94" s="21"/>
      <c r="J94" s="21"/>
    </row>
    <row r="95" spans="1:7" ht="66" customHeight="1">
      <c r="A95" s="211" t="s">
        <v>32</v>
      </c>
      <c r="B95" s="212" t="s">
        <v>90</v>
      </c>
      <c r="C95" s="212" t="str">
        <f>C81</f>
        <v>No. of children as per PAB Approval for  2019-20</v>
      </c>
      <c r="D95" s="212" t="s">
        <v>202</v>
      </c>
      <c r="E95" s="240" t="s">
        <v>30</v>
      </c>
      <c r="F95" s="213" t="s">
        <v>31</v>
      </c>
      <c r="G95" s="21"/>
    </row>
    <row r="96" spans="1:7" s="26" customFormat="1" ht="12.75" customHeight="1">
      <c r="A96" s="241">
        <v>1</v>
      </c>
      <c r="B96" s="242">
        <v>2</v>
      </c>
      <c r="C96" s="242">
        <v>3</v>
      </c>
      <c r="D96" s="242">
        <v>4</v>
      </c>
      <c r="E96" s="242" t="s">
        <v>94</v>
      </c>
      <c r="F96" s="243">
        <v>6</v>
      </c>
      <c r="G96" s="25"/>
    </row>
    <row r="97" spans="1:12" ht="12.75" customHeight="1">
      <c r="A97" s="222">
        <v>1</v>
      </c>
      <c r="B97" s="244" t="s">
        <v>131</v>
      </c>
      <c r="C97" s="17">
        <v>8888.014254644246</v>
      </c>
      <c r="D97" s="262">
        <v>8362.565689387733</v>
      </c>
      <c r="E97" s="17">
        <f aca="true" t="shared" si="11" ref="E97:E104">D97-C97</f>
        <v>-525.4485652565127</v>
      </c>
      <c r="F97" s="203">
        <f aca="true" t="shared" si="12" ref="F97:F105">E97/C97</f>
        <v>-0.05911878066374056</v>
      </c>
      <c r="G97" s="21"/>
      <c r="K97" s="34"/>
      <c r="L97" s="34"/>
    </row>
    <row r="98" spans="1:12" ht="12.75" customHeight="1">
      <c r="A98" s="222">
        <v>2</v>
      </c>
      <c r="B98" s="244" t="s">
        <v>132</v>
      </c>
      <c r="C98" s="17">
        <v>4564.929730414562</v>
      </c>
      <c r="D98" s="262">
        <v>4331.709967755128</v>
      </c>
      <c r="E98" s="17">
        <f t="shared" si="11"/>
        <v>-233.2197626594343</v>
      </c>
      <c r="F98" s="203">
        <f t="shared" si="12"/>
        <v>-0.051089452945041185</v>
      </c>
      <c r="G98" s="21"/>
      <c r="K98" s="34"/>
      <c r="L98" s="34"/>
    </row>
    <row r="99" spans="1:12" ht="12.75" customHeight="1">
      <c r="A99" s="222">
        <v>3</v>
      </c>
      <c r="B99" s="244" t="s">
        <v>133</v>
      </c>
      <c r="C99" s="17">
        <v>2994.2333377572522</v>
      </c>
      <c r="D99" s="262">
        <v>3299.5984</v>
      </c>
      <c r="E99" s="17">
        <f t="shared" si="11"/>
        <v>305.3650622427476</v>
      </c>
      <c r="F99" s="203">
        <f t="shared" si="12"/>
        <v>0.10198439059244223</v>
      </c>
      <c r="G99" s="21"/>
      <c r="K99" s="34"/>
      <c r="L99" s="34"/>
    </row>
    <row r="100" spans="1:12" ht="12.75" customHeight="1">
      <c r="A100" s="222">
        <v>4</v>
      </c>
      <c r="B100" s="244" t="s">
        <v>134</v>
      </c>
      <c r="C100" s="17">
        <v>6610.539177758934</v>
      </c>
      <c r="D100" s="262">
        <v>6223.521371428571</v>
      </c>
      <c r="E100" s="17">
        <f t="shared" si="11"/>
        <v>-387.0178063303629</v>
      </c>
      <c r="F100" s="203">
        <f t="shared" si="12"/>
        <v>-0.05854557335239444</v>
      </c>
      <c r="G100" s="21"/>
      <c r="K100" s="34"/>
      <c r="L100" s="34"/>
    </row>
    <row r="101" spans="1:12" ht="12.75" customHeight="1">
      <c r="A101" s="222">
        <v>5</v>
      </c>
      <c r="B101" s="244" t="s">
        <v>135</v>
      </c>
      <c r="C101" s="17">
        <v>7021.159233295459</v>
      </c>
      <c r="D101" s="262">
        <v>7409.248914285715</v>
      </c>
      <c r="E101" s="17">
        <f t="shared" si="11"/>
        <v>388.08968099025606</v>
      </c>
      <c r="F101" s="203">
        <f t="shared" si="12"/>
        <v>0.05527430273192962</v>
      </c>
      <c r="G101" s="21"/>
      <c r="K101" s="34"/>
      <c r="L101" s="34"/>
    </row>
    <row r="102" spans="1:12" ht="12.75" customHeight="1">
      <c r="A102" s="222">
        <v>6</v>
      </c>
      <c r="B102" s="244" t="s">
        <v>136</v>
      </c>
      <c r="C102" s="17">
        <v>3839.3198315368395</v>
      </c>
      <c r="D102" s="262">
        <v>3694.199542857142</v>
      </c>
      <c r="E102" s="17">
        <f t="shared" si="11"/>
        <v>-145.1202886796973</v>
      </c>
      <c r="F102" s="203">
        <f t="shared" si="12"/>
        <v>-0.03779843697512618</v>
      </c>
      <c r="G102" s="21"/>
      <c r="K102" s="34"/>
      <c r="L102" s="34"/>
    </row>
    <row r="103" spans="1:12" ht="12.75" customHeight="1">
      <c r="A103" s="222">
        <v>7</v>
      </c>
      <c r="B103" s="244" t="s">
        <v>137</v>
      </c>
      <c r="C103" s="17">
        <v>2472</v>
      </c>
      <c r="D103" s="262">
        <v>2350.952228571429</v>
      </c>
      <c r="E103" s="17">
        <f t="shared" si="11"/>
        <v>-121.0477714285712</v>
      </c>
      <c r="F103" s="203">
        <f t="shared" si="12"/>
        <v>-0.04896754507628285</v>
      </c>
      <c r="G103" s="21"/>
      <c r="K103" s="34"/>
      <c r="L103" s="34"/>
    </row>
    <row r="104" spans="1:12" ht="12.75" customHeight="1">
      <c r="A104" s="222">
        <v>8</v>
      </c>
      <c r="B104" s="244" t="s">
        <v>300</v>
      </c>
      <c r="C104" s="17">
        <v>2630.9123115902366</v>
      </c>
      <c r="D104" s="262">
        <v>3225.1309714285717</v>
      </c>
      <c r="E104" s="17">
        <f t="shared" si="11"/>
        <v>594.218659838335</v>
      </c>
      <c r="F104" s="203">
        <f t="shared" si="12"/>
        <v>0.22586030603169882</v>
      </c>
      <c r="G104" s="21"/>
      <c r="K104" s="34"/>
      <c r="L104" s="34"/>
    </row>
    <row r="105" spans="1:13" s="13" customFormat="1" ht="17.25" customHeight="1" thickBot="1">
      <c r="A105" s="257"/>
      <c r="B105" s="246" t="s">
        <v>56</v>
      </c>
      <c r="C105" s="258">
        <f>SUM(C97:C104)</f>
        <v>39021.10787699753</v>
      </c>
      <c r="D105" s="258">
        <f>SUM(D97:D104)</f>
        <v>38896.92708571429</v>
      </c>
      <c r="E105" s="258">
        <f>SUM(E97:E104)</f>
        <v>-124.18079128323961</v>
      </c>
      <c r="F105" s="260">
        <f t="shared" si="12"/>
        <v>-0.0031824004504096277</v>
      </c>
      <c r="G105" s="261"/>
      <c r="I105" s="4"/>
      <c r="J105" s="4"/>
      <c r="M105" s="4"/>
    </row>
    <row r="106" spans="1:7" ht="12.75" customHeight="1">
      <c r="A106" s="18"/>
      <c r="B106" s="22"/>
      <c r="C106" s="28"/>
      <c r="D106" s="263"/>
      <c r="E106" s="28"/>
      <c r="F106" s="29"/>
      <c r="G106" s="21"/>
    </row>
    <row r="107" spans="1:8" ht="18" customHeight="1">
      <c r="A107" s="573" t="s">
        <v>304</v>
      </c>
      <c r="B107" s="573"/>
      <c r="C107" s="573"/>
      <c r="D107" s="573"/>
      <c r="E107" s="573"/>
      <c r="F107" s="573"/>
      <c r="G107" s="573"/>
      <c r="H107" s="573"/>
    </row>
    <row r="108" spans="1:7" ht="12.75" customHeight="1" thickBot="1">
      <c r="A108" s="140"/>
      <c r="B108" s="140"/>
      <c r="C108" s="140"/>
      <c r="D108" s="140"/>
      <c r="E108" s="140"/>
      <c r="F108" s="140"/>
      <c r="G108" s="140"/>
    </row>
    <row r="109" spans="1:7" ht="64.5" customHeight="1">
      <c r="A109" s="211" t="s">
        <v>32</v>
      </c>
      <c r="B109" s="212" t="s">
        <v>90</v>
      </c>
      <c r="C109" s="212" t="s">
        <v>179</v>
      </c>
      <c r="D109" s="212" t="s">
        <v>202</v>
      </c>
      <c r="E109" s="240" t="s">
        <v>30</v>
      </c>
      <c r="F109" s="213" t="s">
        <v>31</v>
      </c>
      <c r="G109" s="21"/>
    </row>
    <row r="110" spans="1:7" s="26" customFormat="1" ht="12.75" customHeight="1">
      <c r="A110" s="241">
        <v>1</v>
      </c>
      <c r="B110" s="242">
        <v>2</v>
      </c>
      <c r="C110" s="242">
        <v>3</v>
      </c>
      <c r="D110" s="242">
        <v>4</v>
      </c>
      <c r="E110" s="242" t="s">
        <v>94</v>
      </c>
      <c r="F110" s="243">
        <v>6</v>
      </c>
      <c r="G110" s="25"/>
    </row>
    <row r="111" spans="1:17" ht="12.75" customHeight="1">
      <c r="A111" s="222">
        <v>1</v>
      </c>
      <c r="B111" s="244" t="s">
        <v>131</v>
      </c>
      <c r="C111" s="245">
        <v>16158</v>
      </c>
      <c r="D111" s="17">
        <f>D83</f>
        <v>14819.198381864644</v>
      </c>
      <c r="E111" s="17">
        <f aca="true" t="shared" si="13" ref="E111:E118">D111-C111</f>
        <v>-1338.801618135356</v>
      </c>
      <c r="F111" s="203">
        <f aca="true" t="shared" si="14" ref="F111:F119">E111/C111</f>
        <v>-0.08285688935111746</v>
      </c>
      <c r="G111" s="21"/>
      <c r="Q111" s="26"/>
    </row>
    <row r="112" spans="1:17" ht="12.75" customHeight="1">
      <c r="A112" s="222">
        <v>2</v>
      </c>
      <c r="B112" s="244" t="s">
        <v>132</v>
      </c>
      <c r="C112" s="245">
        <v>7955</v>
      </c>
      <c r="D112" s="17">
        <f aca="true" t="shared" si="15" ref="D112:D118">D84</f>
        <v>7268.211799953539</v>
      </c>
      <c r="E112" s="17">
        <f t="shared" si="13"/>
        <v>-686.7882000464606</v>
      </c>
      <c r="F112" s="203">
        <f t="shared" si="14"/>
        <v>-0.08633415462557643</v>
      </c>
      <c r="G112" s="21"/>
      <c r="Q112" s="26"/>
    </row>
    <row r="113" spans="1:17" ht="12.75" customHeight="1">
      <c r="A113" s="222">
        <v>3</v>
      </c>
      <c r="B113" s="244" t="s">
        <v>133</v>
      </c>
      <c r="C113" s="245">
        <v>7363</v>
      </c>
      <c r="D113" s="17">
        <f t="shared" si="15"/>
        <v>6919.504000000001</v>
      </c>
      <c r="E113" s="17">
        <f t="shared" si="13"/>
        <v>-443.4959999999992</v>
      </c>
      <c r="F113" s="203">
        <f t="shared" si="14"/>
        <v>-0.060233057177780686</v>
      </c>
      <c r="G113" s="21"/>
      <c r="Q113" s="26"/>
    </row>
    <row r="114" spans="1:17" ht="12.75" customHeight="1">
      <c r="A114" s="222">
        <v>4</v>
      </c>
      <c r="B114" s="244" t="s">
        <v>134</v>
      </c>
      <c r="C114" s="245">
        <v>18404</v>
      </c>
      <c r="D114" s="17">
        <f t="shared" si="15"/>
        <v>16922.83684848485</v>
      </c>
      <c r="E114" s="17">
        <f t="shared" si="13"/>
        <v>-1481.1631515151494</v>
      </c>
      <c r="F114" s="203">
        <f t="shared" si="14"/>
        <v>-0.08048050160373557</v>
      </c>
      <c r="G114" s="21"/>
      <c r="Q114" s="26"/>
    </row>
    <row r="115" spans="1:17" ht="12.75" customHeight="1">
      <c r="A115" s="222">
        <v>5</v>
      </c>
      <c r="B115" s="244" t="s">
        <v>135</v>
      </c>
      <c r="C115" s="245">
        <v>17803</v>
      </c>
      <c r="D115" s="17">
        <f t="shared" si="15"/>
        <v>16504.248</v>
      </c>
      <c r="E115" s="17">
        <f t="shared" si="13"/>
        <v>-1298.7520000000004</v>
      </c>
      <c r="F115" s="203">
        <f t="shared" si="14"/>
        <v>-0.0729513003426389</v>
      </c>
      <c r="G115" s="21"/>
      <c r="Q115" s="26"/>
    </row>
    <row r="116" spans="1:17" ht="12.75" customHeight="1">
      <c r="A116" s="222">
        <v>6</v>
      </c>
      <c r="B116" s="244" t="s">
        <v>136</v>
      </c>
      <c r="C116" s="245">
        <v>11034</v>
      </c>
      <c r="D116" s="17">
        <f t="shared" si="15"/>
        <v>9991.294787878787</v>
      </c>
      <c r="E116" s="17">
        <f t="shared" si="13"/>
        <v>-1042.7052121212128</v>
      </c>
      <c r="F116" s="203">
        <f t="shared" si="14"/>
        <v>-0.09449929419260583</v>
      </c>
      <c r="G116" s="21"/>
      <c r="Q116" s="26"/>
    </row>
    <row r="117" spans="1:17" ht="12.75" customHeight="1">
      <c r="A117" s="222">
        <v>7</v>
      </c>
      <c r="B117" s="244" t="s">
        <v>137</v>
      </c>
      <c r="C117" s="245">
        <v>3943</v>
      </c>
      <c r="D117" s="17">
        <f t="shared" si="15"/>
        <v>3504.0904242424244</v>
      </c>
      <c r="E117" s="17">
        <f t="shared" si="13"/>
        <v>-438.90957575757557</v>
      </c>
      <c r="F117" s="203">
        <f t="shared" si="14"/>
        <v>-0.11131361292355454</v>
      </c>
      <c r="G117" s="21"/>
      <c r="H117" s="4" t="s">
        <v>105</v>
      </c>
      <c r="Q117" s="26"/>
    </row>
    <row r="118" spans="1:17" ht="12.75" customHeight="1">
      <c r="A118" s="222">
        <v>8</v>
      </c>
      <c r="B118" s="244" t="s">
        <v>300</v>
      </c>
      <c r="C118" s="245">
        <v>7942</v>
      </c>
      <c r="D118" s="17">
        <f t="shared" si="15"/>
        <v>6643.983515151515</v>
      </c>
      <c r="E118" s="17">
        <f t="shared" si="13"/>
        <v>-1298.0164848484847</v>
      </c>
      <c r="F118" s="203">
        <f t="shared" si="14"/>
        <v>-0.16343697870164753</v>
      </c>
      <c r="G118" s="21"/>
      <c r="Q118" s="26"/>
    </row>
    <row r="119" spans="1:12" s="13" customFormat="1" ht="18" customHeight="1" thickBot="1">
      <c r="A119" s="257"/>
      <c r="B119" s="246" t="s">
        <v>56</v>
      </c>
      <c r="C119" s="258">
        <f>SUM(C111:C118)</f>
        <v>90602</v>
      </c>
      <c r="D119" s="258">
        <f>SUM(D111:D118)</f>
        <v>82573.36775757576</v>
      </c>
      <c r="E119" s="258">
        <f>SUM(E111:E118)</f>
        <v>-8028.632242424238</v>
      </c>
      <c r="F119" s="260">
        <f t="shared" si="14"/>
        <v>-0.08861429375095735</v>
      </c>
      <c r="G119" s="261">
        <f>D119/C119</f>
        <v>0.9113857062490427</v>
      </c>
      <c r="I119" s="4"/>
      <c r="J119" s="4"/>
      <c r="K119" s="4"/>
      <c r="L119" s="4"/>
    </row>
    <row r="120" spans="1:7" ht="12.75" customHeight="1">
      <c r="A120" s="18"/>
      <c r="B120" s="22"/>
      <c r="C120" s="28"/>
      <c r="D120" s="28"/>
      <c r="E120" s="28"/>
      <c r="F120" s="29"/>
      <c r="G120" s="21"/>
    </row>
    <row r="121" spans="1:10" s="35" customFormat="1" ht="17.25" customHeight="1">
      <c r="A121" s="573" t="s">
        <v>303</v>
      </c>
      <c r="B121" s="573"/>
      <c r="C121" s="573"/>
      <c r="D121" s="573"/>
      <c r="E121" s="573"/>
      <c r="F121" s="573"/>
      <c r="G121" s="573"/>
      <c r="H121" s="573"/>
      <c r="J121" s="36"/>
    </row>
    <row r="122" spans="1:10" ht="12.75" customHeight="1" thickBot="1">
      <c r="A122" s="140"/>
      <c r="B122" s="140"/>
      <c r="C122" s="140"/>
      <c r="D122" s="140"/>
      <c r="E122" s="140"/>
      <c r="F122" s="140"/>
      <c r="G122" s="21"/>
      <c r="J122" s="21"/>
    </row>
    <row r="123" spans="1:7" ht="48.75" customHeight="1">
      <c r="A123" s="211" t="s">
        <v>32</v>
      </c>
      <c r="B123" s="212" t="s">
        <v>90</v>
      </c>
      <c r="C123" s="212" t="s">
        <v>179</v>
      </c>
      <c r="D123" s="212" t="s">
        <v>202</v>
      </c>
      <c r="E123" s="240" t="s">
        <v>30</v>
      </c>
      <c r="F123" s="213" t="s">
        <v>31</v>
      </c>
      <c r="G123" s="21"/>
    </row>
    <row r="124" spans="1:7" s="26" customFormat="1" ht="12.75" customHeight="1">
      <c r="A124" s="241">
        <v>1</v>
      </c>
      <c r="B124" s="242">
        <v>2</v>
      </c>
      <c r="C124" s="242">
        <v>3</v>
      </c>
      <c r="D124" s="242">
        <v>4</v>
      </c>
      <c r="E124" s="242" t="s">
        <v>94</v>
      </c>
      <c r="F124" s="243">
        <v>6</v>
      </c>
      <c r="G124" s="25"/>
    </row>
    <row r="125" spans="1:7" ht="12.75" customHeight="1">
      <c r="A125" s="222">
        <v>1</v>
      </c>
      <c r="B125" s="244" t="s">
        <v>131</v>
      </c>
      <c r="C125" s="27">
        <v>8979</v>
      </c>
      <c r="D125" s="262">
        <f>D97</f>
        <v>8362.565689387733</v>
      </c>
      <c r="E125" s="17">
        <f aca="true" t="shared" si="16" ref="E125:E132">D125-C125</f>
        <v>-616.4343106122669</v>
      </c>
      <c r="F125" s="203">
        <f>E125/C125</f>
        <v>-0.0686528912587445</v>
      </c>
      <c r="G125" s="21"/>
    </row>
    <row r="126" spans="1:7" ht="12.75" customHeight="1">
      <c r="A126" s="222">
        <v>2</v>
      </c>
      <c r="B126" s="244" t="s">
        <v>132</v>
      </c>
      <c r="C126" s="27">
        <v>4716</v>
      </c>
      <c r="D126" s="262">
        <f aca="true" t="shared" si="17" ref="D126:D132">D98</f>
        <v>4331.709967755128</v>
      </c>
      <c r="E126" s="17">
        <f t="shared" si="16"/>
        <v>-384.29003224487224</v>
      </c>
      <c r="F126" s="203">
        <f aca="true" t="shared" si="18" ref="F126:F132">E126/C126</f>
        <v>-0.08148643601460395</v>
      </c>
      <c r="G126" s="21"/>
    </row>
    <row r="127" spans="1:7" ht="12.75" customHeight="1">
      <c r="A127" s="222">
        <v>3</v>
      </c>
      <c r="B127" s="244" t="s">
        <v>133</v>
      </c>
      <c r="C127" s="27">
        <v>3323</v>
      </c>
      <c r="D127" s="262">
        <f t="shared" si="17"/>
        <v>3299.5984</v>
      </c>
      <c r="E127" s="17">
        <f t="shared" si="16"/>
        <v>-23.401600000000144</v>
      </c>
      <c r="F127" s="203">
        <f t="shared" si="18"/>
        <v>-0.007042311164610336</v>
      </c>
      <c r="G127" s="21"/>
    </row>
    <row r="128" spans="1:7" ht="12.75" customHeight="1">
      <c r="A128" s="222">
        <v>4</v>
      </c>
      <c r="B128" s="244" t="s">
        <v>134</v>
      </c>
      <c r="C128" s="27">
        <v>6764</v>
      </c>
      <c r="D128" s="262">
        <f t="shared" si="17"/>
        <v>6223.521371428571</v>
      </c>
      <c r="E128" s="17">
        <f t="shared" si="16"/>
        <v>-540.478628571429</v>
      </c>
      <c r="F128" s="203">
        <f t="shared" si="18"/>
        <v>-0.07990517867702972</v>
      </c>
      <c r="G128" s="21"/>
    </row>
    <row r="129" spans="1:7" ht="12.75" customHeight="1">
      <c r="A129" s="222">
        <v>5</v>
      </c>
      <c r="B129" s="244" t="s">
        <v>135</v>
      </c>
      <c r="C129" s="27">
        <v>7990</v>
      </c>
      <c r="D129" s="262">
        <f t="shared" si="17"/>
        <v>7409.248914285715</v>
      </c>
      <c r="E129" s="17">
        <f t="shared" si="16"/>
        <v>-580.7510857142852</v>
      </c>
      <c r="F129" s="203">
        <f t="shared" si="18"/>
        <v>-0.07268474164133731</v>
      </c>
      <c r="G129" s="21"/>
    </row>
    <row r="130" spans="1:7" ht="12.75" customHeight="1">
      <c r="A130" s="222">
        <v>6</v>
      </c>
      <c r="B130" s="244" t="s">
        <v>136</v>
      </c>
      <c r="C130" s="27">
        <v>4022</v>
      </c>
      <c r="D130" s="262">
        <f t="shared" si="17"/>
        <v>3694.199542857142</v>
      </c>
      <c r="E130" s="17">
        <f t="shared" si="16"/>
        <v>-327.8004571428578</v>
      </c>
      <c r="F130" s="203">
        <f t="shared" si="18"/>
        <v>-0.08150185408822919</v>
      </c>
      <c r="G130" s="21"/>
    </row>
    <row r="131" spans="1:7" ht="12.75" customHeight="1">
      <c r="A131" s="222">
        <v>7</v>
      </c>
      <c r="B131" s="244" t="s">
        <v>137</v>
      </c>
      <c r="C131" s="27">
        <v>2620</v>
      </c>
      <c r="D131" s="262">
        <f t="shared" si="17"/>
        <v>2350.952228571429</v>
      </c>
      <c r="E131" s="17">
        <f t="shared" si="16"/>
        <v>-269.0477714285712</v>
      </c>
      <c r="F131" s="203">
        <f t="shared" si="18"/>
        <v>-0.1026899890948745</v>
      </c>
      <c r="G131" s="21"/>
    </row>
    <row r="132" spans="1:7" ht="12.75" customHeight="1">
      <c r="A132" s="222">
        <v>8</v>
      </c>
      <c r="B132" s="244" t="s">
        <v>300</v>
      </c>
      <c r="C132" s="27">
        <v>2833</v>
      </c>
      <c r="D132" s="262">
        <f t="shared" si="17"/>
        <v>3225.1309714285717</v>
      </c>
      <c r="E132" s="17">
        <f t="shared" si="16"/>
        <v>392.1309714285717</v>
      </c>
      <c r="F132" s="203">
        <f t="shared" si="18"/>
        <v>0.1384154505572085</v>
      </c>
      <c r="G132" s="21"/>
    </row>
    <row r="133" spans="1:13" s="13" customFormat="1" ht="17.25" customHeight="1" thickBot="1">
      <c r="A133" s="257"/>
      <c r="B133" s="246" t="s">
        <v>56</v>
      </c>
      <c r="C133" s="258">
        <f>SUM(C125:C132)</f>
        <v>41247</v>
      </c>
      <c r="D133" s="258">
        <f>SUM(D125:D132)</f>
        <v>38896.92708571429</v>
      </c>
      <c r="E133" s="258">
        <f>SUM(E125:E132)</f>
        <v>-2350.072914285711</v>
      </c>
      <c r="F133" s="260">
        <f>E133/C133</f>
        <v>-0.05697560826934591</v>
      </c>
      <c r="G133" s="261">
        <f>D133/C133</f>
        <v>0.9430243917306541</v>
      </c>
      <c r="I133" s="4"/>
      <c r="J133" s="4"/>
      <c r="M133" s="4"/>
    </row>
    <row r="134" spans="1:13" s="13" customFormat="1" ht="17.25" customHeight="1">
      <c r="A134" s="264"/>
      <c r="B134" s="265"/>
      <c r="C134" s="266"/>
      <c r="D134" s="267"/>
      <c r="E134" s="268"/>
      <c r="F134" s="269"/>
      <c r="G134" s="270"/>
      <c r="I134" s="4"/>
      <c r="J134" s="4"/>
      <c r="M134" s="4"/>
    </row>
    <row r="135" spans="1:8" ht="15">
      <c r="A135" s="585" t="s">
        <v>270</v>
      </c>
      <c r="B135" s="585"/>
      <c r="C135" s="585"/>
      <c r="D135" s="585"/>
      <c r="E135" s="585"/>
      <c r="F135" s="585"/>
      <c r="G135" s="37"/>
      <c r="H135" s="37"/>
    </row>
    <row r="136" spans="1:8" ht="13.5" thickBot="1">
      <c r="A136" s="38"/>
      <c r="B136" s="39"/>
      <c r="C136" s="39"/>
      <c r="D136" s="586" t="s">
        <v>307</v>
      </c>
      <c r="E136" s="586"/>
      <c r="F136" s="586"/>
      <c r="G136" s="39"/>
      <c r="H136" s="39"/>
    </row>
    <row r="137" spans="1:17" ht="59.25" customHeight="1">
      <c r="A137" s="271" t="s">
        <v>1</v>
      </c>
      <c r="B137" s="272" t="s">
        <v>2</v>
      </c>
      <c r="C137" s="273" t="s">
        <v>310</v>
      </c>
      <c r="D137" s="273" t="s">
        <v>311</v>
      </c>
      <c r="E137" s="141" t="s">
        <v>106</v>
      </c>
      <c r="F137" s="274"/>
      <c r="I137" s="27" t="s">
        <v>200</v>
      </c>
      <c r="J137" s="27" t="s">
        <v>214</v>
      </c>
      <c r="K137" s="27" t="s">
        <v>3</v>
      </c>
      <c r="L137" s="239"/>
      <c r="N137" s="27" t="s">
        <v>200</v>
      </c>
      <c r="O137" s="27" t="s">
        <v>214</v>
      </c>
      <c r="P137" s="27"/>
      <c r="Q137" s="27" t="s">
        <v>3</v>
      </c>
    </row>
    <row r="138" spans="1:17" s="15" customFormat="1" ht="13.5" customHeight="1">
      <c r="A138" s="275">
        <v>1</v>
      </c>
      <c r="B138" s="276">
        <v>2</v>
      </c>
      <c r="C138" s="277">
        <v>3</v>
      </c>
      <c r="D138" s="277">
        <v>4</v>
      </c>
      <c r="E138" s="142">
        <v>5</v>
      </c>
      <c r="F138" s="278"/>
      <c r="I138" s="589" t="s">
        <v>218</v>
      </c>
      <c r="J138" s="589"/>
      <c r="K138" s="589"/>
      <c r="L138" s="499"/>
      <c r="N138" s="589" t="s">
        <v>217</v>
      </c>
      <c r="O138" s="589"/>
      <c r="P138" s="589"/>
      <c r="Q138" s="589"/>
    </row>
    <row r="139" spans="1:17" ht="13.5" customHeight="1">
      <c r="A139" s="222">
        <v>1</v>
      </c>
      <c r="B139" s="244" t="s">
        <v>131</v>
      </c>
      <c r="C139" s="17">
        <f>K139</f>
        <v>5116533.629278017</v>
      </c>
      <c r="D139" s="17">
        <f>Q139</f>
        <v>3908616.7286505196</v>
      </c>
      <c r="E139" s="203">
        <f aca="true" t="shared" si="19" ref="E139:E146">D139/C139</f>
        <v>0.7639188974122029</v>
      </c>
      <c r="H139" s="41"/>
      <c r="I139" s="17">
        <v>3232274.6072934377</v>
      </c>
      <c r="J139" s="17">
        <v>1884259.02198458</v>
      </c>
      <c r="K139" s="17">
        <f>SUM(I139:J139)</f>
        <v>5116533.629278017</v>
      </c>
      <c r="L139" s="274"/>
      <c r="M139" s="133"/>
      <c r="N139" s="17">
        <v>2445167.733007666</v>
      </c>
      <c r="O139" s="17">
        <v>1463448.9956428532</v>
      </c>
      <c r="P139" s="17"/>
      <c r="Q139" s="17">
        <f>SUM(N139:O139)</f>
        <v>3908616.7286505196</v>
      </c>
    </row>
    <row r="140" spans="1:17" ht="13.5" customHeight="1">
      <c r="A140" s="222">
        <v>2</v>
      </c>
      <c r="B140" s="244" t="s">
        <v>132</v>
      </c>
      <c r="C140" s="17">
        <f aca="true" t="shared" si="20" ref="C140:C146">K140</f>
        <v>2581855.9565878357</v>
      </c>
      <c r="D140" s="17">
        <f aca="true" t="shared" si="21" ref="D140:D146">Q140</f>
        <v>1957304.1913494812</v>
      </c>
      <c r="E140" s="203">
        <f t="shared" si="19"/>
        <v>0.75809968652792</v>
      </c>
      <c r="H140" s="41"/>
      <c r="I140" s="17">
        <v>1614090.8537399485</v>
      </c>
      <c r="J140" s="17">
        <v>967765.1028478871</v>
      </c>
      <c r="K140" s="17">
        <f aca="true" t="shared" si="22" ref="K140:K146">SUM(I140:J140)</f>
        <v>2581855.9565878357</v>
      </c>
      <c r="L140" s="274"/>
      <c r="M140" s="133"/>
      <c r="N140" s="17">
        <v>1199254.946992334</v>
      </c>
      <c r="O140" s="17">
        <v>758049.2443571474</v>
      </c>
      <c r="P140" s="17"/>
      <c r="Q140" s="17">
        <f aca="true" t="shared" si="23" ref="Q140:Q146">SUM(N140:O140)</f>
        <v>1957304.1913494812</v>
      </c>
    </row>
    <row r="141" spans="1:17" ht="13.5" customHeight="1">
      <c r="A141" s="222">
        <v>3</v>
      </c>
      <c r="B141" s="244" t="s">
        <v>133</v>
      </c>
      <c r="C141" s="17">
        <f t="shared" si="20"/>
        <v>1966458.2342101797</v>
      </c>
      <c r="D141" s="17">
        <f t="shared" si="21"/>
        <v>1719147.8800000001</v>
      </c>
      <c r="E141" s="203">
        <f t="shared" si="19"/>
        <v>0.8742356436013955</v>
      </c>
      <c r="H141" s="41"/>
      <c r="I141" s="17">
        <v>1331680.7666056422</v>
      </c>
      <c r="J141" s="17">
        <v>634777.4676045375</v>
      </c>
      <c r="K141" s="17">
        <f t="shared" si="22"/>
        <v>1966458.2342101797</v>
      </c>
      <c r="L141" s="274"/>
      <c r="M141" s="133"/>
      <c r="N141" s="17">
        <v>1141718.1600000001</v>
      </c>
      <c r="O141" s="17">
        <v>577429.72</v>
      </c>
      <c r="P141" s="17"/>
      <c r="Q141" s="17">
        <f t="shared" si="23"/>
        <v>1719147.8800000001</v>
      </c>
    </row>
    <row r="142" spans="1:17" ht="13.5" customHeight="1">
      <c r="A142" s="222">
        <v>4</v>
      </c>
      <c r="B142" s="244" t="s">
        <v>134</v>
      </c>
      <c r="C142" s="17">
        <f t="shared" si="20"/>
        <v>5045073.593902236</v>
      </c>
      <c r="D142" s="17">
        <f t="shared" si="21"/>
        <v>3881384.3200000003</v>
      </c>
      <c r="E142" s="203">
        <f t="shared" si="19"/>
        <v>0.7693414670286005</v>
      </c>
      <c r="H142" s="41"/>
      <c r="I142" s="17">
        <v>3643639.2882173425</v>
      </c>
      <c r="J142" s="17">
        <v>1401434.3056848939</v>
      </c>
      <c r="K142" s="17">
        <f t="shared" si="22"/>
        <v>5045073.593902236</v>
      </c>
      <c r="L142" s="274"/>
      <c r="M142" s="133"/>
      <c r="N142" s="17">
        <v>2792268.08</v>
      </c>
      <c r="O142" s="17">
        <v>1089116.24</v>
      </c>
      <c r="P142" s="17"/>
      <c r="Q142" s="17">
        <f t="shared" si="23"/>
        <v>3881384.3200000003</v>
      </c>
    </row>
    <row r="143" spans="1:17" ht="13.5" customHeight="1">
      <c r="A143" s="222">
        <v>5</v>
      </c>
      <c r="B143" s="244" t="s">
        <v>135</v>
      </c>
      <c r="C143" s="17">
        <f t="shared" si="20"/>
        <v>4974347.334517337</v>
      </c>
      <c r="D143" s="17">
        <f t="shared" si="21"/>
        <v>4019819.48</v>
      </c>
      <c r="E143" s="203">
        <f t="shared" si="19"/>
        <v>0.8081099307453254</v>
      </c>
      <c r="H143" s="41"/>
      <c r="I143" s="17">
        <v>3485861.5770586976</v>
      </c>
      <c r="J143" s="17">
        <v>1488485.75745864</v>
      </c>
      <c r="K143" s="17">
        <f t="shared" si="22"/>
        <v>4974347.334517337</v>
      </c>
      <c r="L143" s="274"/>
      <c r="M143" s="133"/>
      <c r="N143" s="17">
        <v>2723200.92</v>
      </c>
      <c r="O143" s="17">
        <v>1296618.56</v>
      </c>
      <c r="P143" s="17"/>
      <c r="Q143" s="17">
        <f t="shared" si="23"/>
        <v>4019819.48</v>
      </c>
    </row>
    <row r="144" spans="1:17" ht="13.5" customHeight="1">
      <c r="A144" s="222">
        <v>6</v>
      </c>
      <c r="B144" s="244" t="s">
        <v>136</v>
      </c>
      <c r="C144" s="17">
        <f t="shared" si="20"/>
        <v>2906895.936210017</v>
      </c>
      <c r="D144" s="17">
        <f t="shared" si="21"/>
        <v>2295048.5599999996</v>
      </c>
      <c r="E144" s="203">
        <f t="shared" si="19"/>
        <v>0.7895186516350708</v>
      </c>
      <c r="H144" s="41"/>
      <c r="I144" s="17">
        <v>2092960.1319242073</v>
      </c>
      <c r="J144" s="17">
        <v>813935.80428581</v>
      </c>
      <c r="K144" s="17">
        <f t="shared" si="22"/>
        <v>2906895.936210017</v>
      </c>
      <c r="L144" s="274"/>
      <c r="M144" s="133"/>
      <c r="N144" s="17">
        <v>1648563.64</v>
      </c>
      <c r="O144" s="17">
        <v>646484.9199999999</v>
      </c>
      <c r="P144" s="17"/>
      <c r="Q144" s="17">
        <f t="shared" si="23"/>
        <v>2295048.5599999996</v>
      </c>
    </row>
    <row r="145" spans="1:17" ht="13.5" customHeight="1">
      <c r="A145" s="222">
        <v>7</v>
      </c>
      <c r="B145" s="244" t="s">
        <v>137</v>
      </c>
      <c r="C145" s="17">
        <f t="shared" si="20"/>
        <v>1271062.4476778482</v>
      </c>
      <c r="D145" s="17">
        <f t="shared" si="21"/>
        <v>989591.56</v>
      </c>
      <c r="E145" s="203">
        <f t="shared" si="19"/>
        <v>0.7785546349889592</v>
      </c>
      <c r="H145" s="41"/>
      <c r="I145" s="17">
        <v>746962.1176013242</v>
      </c>
      <c r="J145" s="17">
        <v>524100.330076524</v>
      </c>
      <c r="K145" s="17">
        <f t="shared" si="22"/>
        <v>1271062.4476778482</v>
      </c>
      <c r="L145" s="274"/>
      <c r="M145" s="133"/>
      <c r="N145" s="17">
        <v>578174.92</v>
      </c>
      <c r="O145" s="17">
        <v>411416.64</v>
      </c>
      <c r="P145" s="17"/>
      <c r="Q145" s="17">
        <f t="shared" si="23"/>
        <v>989591.56</v>
      </c>
    </row>
    <row r="146" spans="1:17" ht="13.5" customHeight="1" thickBot="1">
      <c r="A146" s="222">
        <v>8</v>
      </c>
      <c r="B146" s="244" t="s">
        <v>300</v>
      </c>
      <c r="C146" s="17">
        <f t="shared" si="20"/>
        <v>2015070.1076165298</v>
      </c>
      <c r="D146" s="17">
        <f t="shared" si="21"/>
        <v>1660655.2000000002</v>
      </c>
      <c r="E146" s="203">
        <f t="shared" si="19"/>
        <v>0.8241178278230034</v>
      </c>
      <c r="H146" s="41"/>
      <c r="I146" s="131">
        <v>1457316.6975593998</v>
      </c>
      <c r="J146" s="131">
        <v>557753.4100571302</v>
      </c>
      <c r="K146" s="131">
        <f t="shared" si="22"/>
        <v>2015070.1076165298</v>
      </c>
      <c r="L146" s="274"/>
      <c r="M146" s="133"/>
      <c r="N146" s="131">
        <v>1096257.28</v>
      </c>
      <c r="O146" s="131">
        <v>564397.92</v>
      </c>
      <c r="P146" s="131"/>
      <c r="Q146" s="131">
        <f t="shared" si="23"/>
        <v>1660655.2000000002</v>
      </c>
    </row>
    <row r="147" spans="1:17" s="13" customFormat="1" ht="13.5" customHeight="1" thickBot="1">
      <c r="A147" s="257"/>
      <c r="B147" s="246" t="s">
        <v>56</v>
      </c>
      <c r="C147" s="258">
        <f>SUM(C139:C146)</f>
        <v>25877297.240000002</v>
      </c>
      <c r="D147" s="258">
        <f>SUM(D139:D146)</f>
        <v>20431567.919999998</v>
      </c>
      <c r="E147" s="260">
        <f>D147/C147</f>
        <v>0.789555714822403</v>
      </c>
      <c r="H147" s="42"/>
      <c r="I147" s="132">
        <f>SUM(I139:I146)</f>
        <v>17604786.04</v>
      </c>
      <c r="J147" s="132">
        <f>SUM(J139:J146)</f>
        <v>8272511.200000004</v>
      </c>
      <c r="K147" s="132">
        <f>SUM(K139:K146)</f>
        <v>25877297.240000002</v>
      </c>
      <c r="L147" s="274"/>
      <c r="M147" s="43"/>
      <c r="N147" s="132">
        <f>SUM(N139:N146)</f>
        <v>13624605.68</v>
      </c>
      <c r="O147" s="132">
        <f>SUM(O139:O146)</f>
        <v>6806962.240000001</v>
      </c>
      <c r="P147" s="132"/>
      <c r="Q147" s="132">
        <f>SUM(Q139:Q146)</f>
        <v>20431567.919999998</v>
      </c>
    </row>
    <row r="148" spans="1:12" s="85" customFormat="1" ht="13.5" customHeight="1">
      <c r="A148" s="264"/>
      <c r="B148" s="265"/>
      <c r="C148" s="279"/>
      <c r="D148" s="279"/>
      <c r="E148" s="280"/>
      <c r="H148" s="86"/>
      <c r="J148" s="87"/>
      <c r="K148" s="87"/>
      <c r="L148" s="87"/>
    </row>
    <row r="149" spans="1:12" s="85" customFormat="1" ht="13.5" customHeight="1">
      <c r="A149" s="264"/>
      <c r="B149" s="265"/>
      <c r="C149" s="279"/>
      <c r="D149" s="279"/>
      <c r="E149" s="280"/>
      <c r="H149" s="86"/>
      <c r="J149" s="87"/>
      <c r="K149" s="87"/>
      <c r="L149" s="87"/>
    </row>
    <row r="150" spans="1:12" s="13" customFormat="1" ht="13.5" customHeight="1">
      <c r="A150" s="281"/>
      <c r="B150" s="44"/>
      <c r="C150" s="282"/>
      <c r="D150" s="282"/>
      <c r="E150" s="283"/>
      <c r="H150" s="42"/>
      <c r="J150" s="43"/>
      <c r="K150" s="43"/>
      <c r="L150" s="43"/>
    </row>
    <row r="151" spans="1:5" ht="15.75" customHeight="1">
      <c r="A151" s="284" t="s">
        <v>176</v>
      </c>
      <c r="B151" s="285"/>
      <c r="C151" s="285"/>
      <c r="D151" s="285"/>
      <c r="E151" s="286"/>
    </row>
    <row r="152" ht="12.75">
      <c r="A152" s="13"/>
    </row>
    <row r="153" spans="1:4" ht="15">
      <c r="A153" s="182" t="s">
        <v>96</v>
      </c>
      <c r="B153" s="183"/>
      <c r="C153" s="183"/>
      <c r="D153" s="183"/>
    </row>
    <row r="154" ht="13.5" thickBot="1">
      <c r="A154" s="13"/>
    </row>
    <row r="155" spans="1:6" ht="33.75" customHeight="1">
      <c r="A155" s="211" t="s">
        <v>32</v>
      </c>
      <c r="B155" s="212" t="s">
        <v>177</v>
      </c>
      <c r="C155" s="287" t="s">
        <v>51</v>
      </c>
      <c r="D155" s="287" t="s">
        <v>52</v>
      </c>
      <c r="E155" s="287" t="s">
        <v>30</v>
      </c>
      <c r="F155" s="288" t="s">
        <v>31</v>
      </c>
    </row>
    <row r="156" spans="1:6" s="15" customFormat="1" ht="16.5" customHeight="1">
      <c r="A156" s="241">
        <v>1</v>
      </c>
      <c r="B156" s="242">
        <v>2</v>
      </c>
      <c r="C156" s="289">
        <v>3</v>
      </c>
      <c r="D156" s="289">
        <v>4</v>
      </c>
      <c r="E156" s="289" t="s">
        <v>57</v>
      </c>
      <c r="F156" s="290">
        <v>6</v>
      </c>
    </row>
    <row r="157" spans="1:10" s="528" customFormat="1" ht="30.75" customHeight="1">
      <c r="A157" s="523">
        <v>1</v>
      </c>
      <c r="B157" s="524" t="s">
        <v>312</v>
      </c>
      <c r="C157" s="525">
        <v>173.82</v>
      </c>
      <c r="D157" s="525">
        <v>173.82</v>
      </c>
      <c r="E157" s="526">
        <f>D157-C157</f>
        <v>0</v>
      </c>
      <c r="F157" s="535"/>
      <c r="I157" s="529"/>
      <c r="J157" s="529"/>
    </row>
    <row r="158" spans="1:10" s="528" customFormat="1" ht="19.5" customHeight="1">
      <c r="A158" s="523">
        <v>2</v>
      </c>
      <c r="B158" s="524" t="s">
        <v>271</v>
      </c>
      <c r="C158" s="525">
        <v>3001.36</v>
      </c>
      <c r="D158" s="525">
        <v>3001.36</v>
      </c>
      <c r="E158" s="526">
        <f>D158-C158</f>
        <v>0</v>
      </c>
      <c r="F158" s="527">
        <f>E158/C158</f>
        <v>0</v>
      </c>
      <c r="H158" s="528" t="s">
        <v>105</v>
      </c>
      <c r="I158" s="529"/>
      <c r="J158" s="529"/>
    </row>
    <row r="159" spans="1:10" s="528" customFormat="1" ht="26.25" thickBot="1">
      <c r="A159" s="530">
        <v>3</v>
      </c>
      <c r="B159" s="531" t="s">
        <v>248</v>
      </c>
      <c r="C159" s="532">
        <v>2346.26</v>
      </c>
      <c r="D159" s="532">
        <v>2346.26</v>
      </c>
      <c r="E159" s="533">
        <f>D159-C159</f>
        <v>0</v>
      </c>
      <c r="F159" s="534"/>
      <c r="I159" s="529"/>
      <c r="J159" s="529"/>
    </row>
    <row r="160" ht="12.75">
      <c r="A160" s="15"/>
    </row>
    <row r="161" spans="1:6" ht="12.75">
      <c r="A161" s="26"/>
      <c r="F161" s="45"/>
    </row>
    <row r="162" spans="1:6" ht="15">
      <c r="A162" s="46" t="s">
        <v>97</v>
      </c>
      <c r="B162" s="47"/>
      <c r="C162" s="47"/>
      <c r="D162" s="47"/>
      <c r="E162" s="48"/>
      <c r="F162" s="49"/>
    </row>
    <row r="163" spans="1:6" ht="12.75">
      <c r="A163" s="49"/>
      <c r="B163" s="49"/>
      <c r="C163" s="49"/>
      <c r="D163" s="49"/>
      <c r="E163" s="294"/>
      <c r="F163" s="49"/>
    </row>
    <row r="164" spans="1:7" ht="15">
      <c r="A164" s="587" t="s">
        <v>317</v>
      </c>
      <c r="B164" s="587"/>
      <c r="C164" s="587"/>
      <c r="D164" s="587"/>
      <c r="E164" s="587"/>
      <c r="F164" s="587"/>
      <c r="G164" s="587"/>
    </row>
    <row r="165" spans="1:7" ht="6" customHeight="1">
      <c r="A165" s="13"/>
      <c r="B165" s="39"/>
      <c r="C165" s="50"/>
      <c r="D165" s="39"/>
      <c r="E165" s="39"/>
      <c r="F165" s="39"/>
      <c r="G165" s="39"/>
    </row>
    <row r="166" spans="1:5" ht="13.5" thickBot="1">
      <c r="A166" s="39"/>
      <c r="B166" s="39"/>
      <c r="C166" s="39"/>
      <c r="D166" s="39"/>
      <c r="E166" s="295" t="s">
        <v>258</v>
      </c>
    </row>
    <row r="167" spans="1:23" ht="40.5" customHeight="1">
      <c r="A167" s="296" t="s">
        <v>26</v>
      </c>
      <c r="B167" s="297" t="s">
        <v>27</v>
      </c>
      <c r="C167" s="298" t="s">
        <v>272</v>
      </c>
      <c r="D167" s="298" t="s">
        <v>313</v>
      </c>
      <c r="E167" s="299" t="s">
        <v>273</v>
      </c>
      <c r="F167" s="300"/>
      <c r="G167" s="301"/>
      <c r="I167" s="98" t="s">
        <v>200</v>
      </c>
      <c r="J167" s="99" t="s">
        <v>214</v>
      </c>
      <c r="K167" s="100" t="s">
        <v>3</v>
      </c>
      <c r="M167" s="98" t="s">
        <v>200</v>
      </c>
      <c r="N167" s="99" t="s">
        <v>214</v>
      </c>
      <c r="O167" s="100" t="s">
        <v>3</v>
      </c>
      <c r="Q167" s="98" t="s">
        <v>200</v>
      </c>
      <c r="R167" s="99" t="s">
        <v>214</v>
      </c>
      <c r="S167" s="100" t="s">
        <v>3</v>
      </c>
      <c r="U167" s="98" t="s">
        <v>200</v>
      </c>
      <c r="V167" s="99" t="s">
        <v>214</v>
      </c>
      <c r="W167" s="100" t="s">
        <v>3</v>
      </c>
    </row>
    <row r="168" spans="1:23" s="26" customFormat="1" ht="11.25" customHeight="1">
      <c r="A168" s="302">
        <v>1</v>
      </c>
      <c r="B168" s="303">
        <v>2</v>
      </c>
      <c r="C168" s="304">
        <v>3</v>
      </c>
      <c r="D168" s="304">
        <v>4</v>
      </c>
      <c r="E168" s="305">
        <v>5</v>
      </c>
      <c r="F168" s="306"/>
      <c r="G168" s="307"/>
      <c r="I168" s="588" t="s">
        <v>33</v>
      </c>
      <c r="J168" s="589"/>
      <c r="K168" s="590"/>
      <c r="L168" s="4"/>
      <c r="M168" s="588" t="s">
        <v>219</v>
      </c>
      <c r="N168" s="589"/>
      <c r="O168" s="590"/>
      <c r="P168" s="4"/>
      <c r="Q168" s="588" t="s">
        <v>220</v>
      </c>
      <c r="R168" s="589"/>
      <c r="S168" s="590"/>
      <c r="U168" s="588" t="s">
        <v>318</v>
      </c>
      <c r="V168" s="589"/>
      <c r="W168" s="590"/>
    </row>
    <row r="169" spans="1:23" ht="12.75">
      <c r="A169" s="308">
        <v>1</v>
      </c>
      <c r="B169" s="244" t="s">
        <v>131</v>
      </c>
      <c r="C169" s="145">
        <v>590.4143865631024</v>
      </c>
      <c r="D169" s="145">
        <v>34.239229364353605</v>
      </c>
      <c r="E169" s="309">
        <f aca="true" t="shared" si="24" ref="E169:E177">D169/C169</f>
        <v>0.05799186155280818</v>
      </c>
      <c r="F169" s="19"/>
      <c r="G169" s="310"/>
      <c r="H169" s="19"/>
      <c r="I169" s="101">
        <v>327.027729471799</v>
      </c>
      <c r="J169" s="93">
        <v>263.38665709130345</v>
      </c>
      <c r="K169" s="106">
        <f aca="true" t="shared" si="25" ref="K169:K177">I169+J169</f>
        <v>590.4143865631024</v>
      </c>
      <c r="M169" s="101">
        <v>18.617257725647807</v>
      </c>
      <c r="N169" s="93">
        <v>15.6219716387058</v>
      </c>
      <c r="O169" s="106">
        <f aca="true" t="shared" si="26" ref="O169:O177">M169+N169</f>
        <v>34.239229364353605</v>
      </c>
      <c r="Q169" s="101">
        <v>256.0172478161672</v>
      </c>
      <c r="R169" s="93">
        <v>205.47686769102344</v>
      </c>
      <c r="S169" s="106">
        <f aca="true" t="shared" si="27" ref="S169:S177">Q169+R169</f>
        <v>461.4941155071906</v>
      </c>
      <c r="U169" s="486">
        <v>244.51677330076666</v>
      </c>
      <c r="V169" s="215">
        <v>219.51734934642798</v>
      </c>
      <c r="W169" s="106">
        <f aca="true" t="shared" si="28" ref="W169:W177">U169+V169</f>
        <v>464.03412264719464</v>
      </c>
    </row>
    <row r="170" spans="1:23" ht="12.75">
      <c r="A170" s="308">
        <v>2</v>
      </c>
      <c r="B170" s="244" t="s">
        <v>132</v>
      </c>
      <c r="C170" s="145">
        <v>285.4615619496945</v>
      </c>
      <c r="D170" s="145">
        <v>16.58837556136151</v>
      </c>
      <c r="E170" s="309">
        <f t="shared" si="24"/>
        <v>0.05811071532035125</v>
      </c>
      <c r="F170" s="19"/>
      <c r="G170" s="310"/>
      <c r="H170" s="19"/>
      <c r="I170" s="101">
        <v>143.87970834788695</v>
      </c>
      <c r="J170" s="93">
        <v>141.58185360180755</v>
      </c>
      <c r="K170" s="106">
        <f t="shared" si="25"/>
        <v>285.4615619496945</v>
      </c>
      <c r="M170" s="101">
        <v>8.190882210906349</v>
      </c>
      <c r="N170" s="93">
        <v>8.397493350455159</v>
      </c>
      <c r="O170" s="106">
        <f t="shared" si="26"/>
        <v>16.58837556136151</v>
      </c>
      <c r="Q170" s="101">
        <v>112.63780905464571</v>
      </c>
      <c r="R170" s="93">
        <v>110.45280775139547</v>
      </c>
      <c r="S170" s="106">
        <f t="shared" si="27"/>
        <v>223.09061680604117</v>
      </c>
      <c r="U170" s="486">
        <v>119.9254946992334</v>
      </c>
      <c r="V170" s="215">
        <v>113.7073866535721</v>
      </c>
      <c r="W170" s="106">
        <f t="shared" si="28"/>
        <v>233.6328813528055</v>
      </c>
    </row>
    <row r="171" spans="1:23" ht="12.75">
      <c r="A171" s="308">
        <v>3</v>
      </c>
      <c r="B171" s="244" t="s">
        <v>133</v>
      </c>
      <c r="C171" s="145">
        <v>252.78771018109302</v>
      </c>
      <c r="D171" s="145">
        <v>14.641738550287233</v>
      </c>
      <c r="E171" s="309">
        <f t="shared" si="24"/>
        <v>0.05792108540323471</v>
      </c>
      <c r="F171" s="19"/>
      <c r="G171" s="310"/>
      <c r="H171" s="19"/>
      <c r="I171" s="101">
        <v>147.52503226047486</v>
      </c>
      <c r="J171" s="93">
        <v>105.26267792061815</v>
      </c>
      <c r="K171" s="106">
        <f t="shared" si="25"/>
        <v>252.78771018109302</v>
      </c>
      <c r="M171" s="101">
        <v>8.398405697932143</v>
      </c>
      <c r="N171" s="93">
        <v>6.24333285235509</v>
      </c>
      <c r="O171" s="106">
        <f t="shared" si="26"/>
        <v>14.641738550287233</v>
      </c>
      <c r="Q171" s="101">
        <v>115.49159089451169</v>
      </c>
      <c r="R171" s="93">
        <v>82.11898652254021</v>
      </c>
      <c r="S171" s="106">
        <f t="shared" si="27"/>
        <v>197.6105774170519</v>
      </c>
      <c r="U171" s="486">
        <v>114.17181600000004</v>
      </c>
      <c r="V171" s="215">
        <v>86.61445799999998</v>
      </c>
      <c r="W171" s="106">
        <f t="shared" si="28"/>
        <v>200.78627400000002</v>
      </c>
    </row>
    <row r="172" spans="1:23" ht="12.75">
      <c r="A172" s="308">
        <v>4</v>
      </c>
      <c r="B172" s="244" t="s">
        <v>134</v>
      </c>
      <c r="C172" s="145">
        <v>559.338518212764</v>
      </c>
      <c r="D172" s="145">
        <v>32.31557694946012</v>
      </c>
      <c r="E172" s="309">
        <f t="shared" si="24"/>
        <v>0.05777463181458882</v>
      </c>
      <c r="F172" s="19"/>
      <c r="G172" s="310"/>
      <c r="H172" s="19"/>
      <c r="I172" s="101">
        <v>360.79783348798986</v>
      </c>
      <c r="J172" s="93">
        <v>198.54068472477422</v>
      </c>
      <c r="K172" s="106">
        <f t="shared" si="25"/>
        <v>559.338518212764</v>
      </c>
      <c r="M172" s="101">
        <v>20.539745249585977</v>
      </c>
      <c r="N172" s="93">
        <v>11.775831699874145</v>
      </c>
      <c r="O172" s="106">
        <f t="shared" si="26"/>
        <v>32.31557694946012</v>
      </c>
      <c r="Q172" s="101">
        <v>282.4545444413038</v>
      </c>
      <c r="R172" s="93">
        <v>154.88832447702845</v>
      </c>
      <c r="S172" s="106">
        <f t="shared" si="27"/>
        <v>437.3428689183323</v>
      </c>
      <c r="U172" s="486">
        <v>279.22680800000006</v>
      </c>
      <c r="V172" s="215">
        <v>163.36743599999997</v>
      </c>
      <c r="W172" s="106">
        <f t="shared" si="28"/>
        <v>442.594244</v>
      </c>
    </row>
    <row r="173" spans="1:23" ht="12.75">
      <c r="A173" s="308">
        <v>5</v>
      </c>
      <c r="B173" s="244" t="s">
        <v>135</v>
      </c>
      <c r="C173" s="145">
        <v>588.2408120511095</v>
      </c>
      <c r="D173" s="145">
        <v>34.05109689983169</v>
      </c>
      <c r="E173" s="309">
        <f t="shared" si="24"/>
        <v>0.05788632172783202</v>
      </c>
      <c r="F173" s="19"/>
      <c r="G173" s="310"/>
      <c r="H173" s="19"/>
      <c r="I173" s="101">
        <v>351.87344622315084</v>
      </c>
      <c r="J173" s="93">
        <v>236.36736582795862</v>
      </c>
      <c r="K173" s="106">
        <f t="shared" si="25"/>
        <v>588.2408120511095</v>
      </c>
      <c r="M173" s="101">
        <v>20.03169164195658</v>
      </c>
      <c r="N173" s="93">
        <v>14.019405257875109</v>
      </c>
      <c r="O173" s="106">
        <f t="shared" si="26"/>
        <v>34.05109689983169</v>
      </c>
      <c r="Q173" s="101">
        <v>275.46798990759487</v>
      </c>
      <c r="R173" s="93">
        <v>184.39820183400937</v>
      </c>
      <c r="S173" s="106">
        <f t="shared" si="27"/>
        <v>459.8661917416042</v>
      </c>
      <c r="U173" s="486">
        <v>272.320092</v>
      </c>
      <c r="V173" s="215">
        <v>194.49278400000003</v>
      </c>
      <c r="W173" s="106">
        <f t="shared" si="28"/>
        <v>466.812876</v>
      </c>
    </row>
    <row r="174" spans="1:23" ht="12.75">
      <c r="A174" s="308">
        <v>6</v>
      </c>
      <c r="B174" s="244" t="s">
        <v>136</v>
      </c>
      <c r="C174" s="145">
        <v>330.86725848174655</v>
      </c>
      <c r="D174" s="145">
        <v>19.116705737638284</v>
      </c>
      <c r="E174" s="309">
        <f t="shared" si="24"/>
        <v>0.05777756863994122</v>
      </c>
      <c r="F174" s="19"/>
      <c r="G174" s="310"/>
      <c r="H174" s="19"/>
      <c r="I174" s="101">
        <v>213.01614767557504</v>
      </c>
      <c r="J174" s="93">
        <v>117.8511108061715</v>
      </c>
      <c r="K174" s="106">
        <f t="shared" si="25"/>
        <v>330.86725848174655</v>
      </c>
      <c r="M174" s="101">
        <v>12.126728603125443</v>
      </c>
      <c r="N174" s="93">
        <v>6.989977134512841</v>
      </c>
      <c r="O174" s="106">
        <f t="shared" si="26"/>
        <v>19.116705737638284</v>
      </c>
      <c r="Q174" s="101">
        <v>166.76202949635748</v>
      </c>
      <c r="R174" s="93">
        <v>91.93965013180389</v>
      </c>
      <c r="S174" s="106">
        <f t="shared" si="27"/>
        <v>258.7016796281614</v>
      </c>
      <c r="U174" s="486">
        <v>164.856364</v>
      </c>
      <c r="V174" s="215">
        <v>96.97273799999998</v>
      </c>
      <c r="W174" s="106">
        <f t="shared" si="28"/>
        <v>261.829102</v>
      </c>
    </row>
    <row r="175" spans="1:23" ht="12.75">
      <c r="A175" s="308">
        <v>7</v>
      </c>
      <c r="B175" s="244" t="s">
        <v>137</v>
      </c>
      <c r="C175" s="145">
        <v>149.7071060256301</v>
      </c>
      <c r="D175" s="145">
        <v>8.701370348586357</v>
      </c>
      <c r="E175" s="309">
        <f t="shared" si="24"/>
        <v>0.058122627439586384</v>
      </c>
      <c r="F175" s="19"/>
      <c r="G175" s="310"/>
      <c r="H175" s="19"/>
      <c r="I175" s="101">
        <v>74.70781906911026</v>
      </c>
      <c r="J175" s="93">
        <v>74.99928695651985</v>
      </c>
      <c r="K175" s="106">
        <f t="shared" si="25"/>
        <v>149.7071060256301</v>
      </c>
      <c r="M175" s="101">
        <v>4.2530176996829585</v>
      </c>
      <c r="N175" s="93">
        <v>4.448352648903398</v>
      </c>
      <c r="O175" s="106">
        <f t="shared" si="26"/>
        <v>8.701370348586357</v>
      </c>
      <c r="Q175" s="101">
        <v>58.485836229588415</v>
      </c>
      <c r="R175" s="93">
        <v>58.50948841931583</v>
      </c>
      <c r="S175" s="106">
        <f t="shared" si="27"/>
        <v>116.99532464890424</v>
      </c>
      <c r="U175" s="486">
        <v>57.817492</v>
      </c>
      <c r="V175" s="215">
        <v>61.71249600000001</v>
      </c>
      <c r="W175" s="106">
        <f t="shared" si="28"/>
        <v>119.529988</v>
      </c>
    </row>
    <row r="176" spans="1:23" ht="13.5" thickBot="1">
      <c r="A176" s="494">
        <v>8</v>
      </c>
      <c r="B176" s="488" t="s">
        <v>300</v>
      </c>
      <c r="C176" s="489">
        <v>244.53793053485984</v>
      </c>
      <c r="D176" s="489">
        <v>14.16642773322138</v>
      </c>
      <c r="E176" s="490">
        <f t="shared" si="24"/>
        <v>0.05793141253071126</v>
      </c>
      <c r="F176" s="19"/>
      <c r="G176" s="310"/>
      <c r="H176" s="19"/>
      <c r="I176" s="102">
        <v>141.65088746401338</v>
      </c>
      <c r="J176" s="104">
        <v>102.88704307084646</v>
      </c>
      <c r="K176" s="107">
        <f t="shared" si="25"/>
        <v>244.53793053485984</v>
      </c>
      <c r="M176" s="102">
        <v>8.06399837482798</v>
      </c>
      <c r="N176" s="104">
        <v>6.1024293583934</v>
      </c>
      <c r="O176" s="107">
        <f t="shared" si="26"/>
        <v>14.16642773322138</v>
      </c>
      <c r="Q176" s="102">
        <v>110.89295215983088</v>
      </c>
      <c r="R176" s="104">
        <v>80.26567317288368</v>
      </c>
      <c r="S176" s="107">
        <f t="shared" si="27"/>
        <v>191.15862533271456</v>
      </c>
      <c r="U176" s="487">
        <v>109.625728</v>
      </c>
      <c r="V176" s="485">
        <v>84.659688</v>
      </c>
      <c r="W176" s="107">
        <f t="shared" si="28"/>
        <v>194.285416</v>
      </c>
    </row>
    <row r="177" spans="1:23" s="13" customFormat="1" ht="15.75" thickBot="1">
      <c r="A177" s="497"/>
      <c r="B177" s="491" t="s">
        <v>56</v>
      </c>
      <c r="C177" s="492">
        <v>3001.3552839999998</v>
      </c>
      <c r="D177" s="492">
        <v>173.82052114474016</v>
      </c>
      <c r="E177" s="493">
        <f t="shared" si="24"/>
        <v>0.05791401040435444</v>
      </c>
      <c r="F177" s="51"/>
      <c r="G177" s="52"/>
      <c r="H177" s="51"/>
      <c r="I177" s="103">
        <f>SUM(I169:I176)</f>
        <v>1760.4786040000001</v>
      </c>
      <c r="J177" s="103">
        <f>SUM(J169:J176)</f>
        <v>1240.8766799999996</v>
      </c>
      <c r="K177" s="108">
        <f t="shared" si="25"/>
        <v>3001.3552839999998</v>
      </c>
      <c r="L177" s="4"/>
      <c r="M177" s="103">
        <f>SUM(M169:M176)</f>
        <v>100.22172720366522</v>
      </c>
      <c r="N177" s="103">
        <f>SUM(N169:N176)</f>
        <v>73.59879394107493</v>
      </c>
      <c r="O177" s="108">
        <f t="shared" si="26"/>
        <v>173.82052114474016</v>
      </c>
      <c r="P177" s="4"/>
      <c r="Q177" s="103">
        <f>SUM(Q169:Q176)</f>
        <v>1378.2099999999998</v>
      </c>
      <c r="R177" s="103">
        <f>SUM(R169:R176)</f>
        <v>968.0500000000003</v>
      </c>
      <c r="S177" s="108">
        <f t="shared" si="27"/>
        <v>2346.26</v>
      </c>
      <c r="U177" s="103">
        <f>SUM(U169:U176)</f>
        <v>1362.460568</v>
      </c>
      <c r="V177" s="105">
        <f>SUM(V169:V176)</f>
        <v>1021.0443359999999</v>
      </c>
      <c r="W177" s="108">
        <f t="shared" si="28"/>
        <v>2383.504904</v>
      </c>
    </row>
    <row r="178" spans="1:8" ht="15">
      <c r="A178" s="53"/>
      <c r="B178" s="44"/>
      <c r="C178" s="310"/>
      <c r="D178" s="19"/>
      <c r="E178" s="311"/>
      <c r="F178" s="19"/>
      <c r="G178" s="310"/>
      <c r="H178" s="19"/>
    </row>
    <row r="179" spans="1:8" ht="15">
      <c r="A179" s="587" t="s">
        <v>319</v>
      </c>
      <c r="B179" s="587"/>
      <c r="C179" s="587"/>
      <c r="D179" s="587"/>
      <c r="E179" s="587"/>
      <c r="F179" s="587"/>
      <c r="G179" s="587"/>
      <c r="H179" s="13"/>
    </row>
    <row r="180" spans="1:5" ht="13.5" thickBot="1">
      <c r="A180" s="39"/>
      <c r="B180" s="39"/>
      <c r="C180" s="39"/>
      <c r="D180" s="39"/>
      <c r="E180" s="295" t="s">
        <v>258</v>
      </c>
    </row>
    <row r="181" spans="1:12" ht="41.25" customHeight="1">
      <c r="A181" s="271" t="s">
        <v>26</v>
      </c>
      <c r="B181" s="272" t="s">
        <v>27</v>
      </c>
      <c r="C181" s="272" t="str">
        <f>C167</f>
        <v>Allocation for 2019-20                          </v>
      </c>
      <c r="D181" s="272" t="s">
        <v>320</v>
      </c>
      <c r="E181" s="272" t="s">
        <v>274</v>
      </c>
      <c r="F181" s="300"/>
      <c r="G181" s="301"/>
      <c r="I181" s="98" t="s">
        <v>200</v>
      </c>
      <c r="J181" s="99" t="s">
        <v>214</v>
      </c>
      <c r="K181" s="100" t="s">
        <v>3</v>
      </c>
      <c r="L181" s="239"/>
    </row>
    <row r="182" spans="1:12" s="26" customFormat="1" ht="11.25" customHeight="1">
      <c r="A182" s="302">
        <v>1</v>
      </c>
      <c r="B182" s="303">
        <v>2</v>
      </c>
      <c r="C182" s="304">
        <v>3</v>
      </c>
      <c r="D182" s="304">
        <v>4</v>
      </c>
      <c r="E182" s="305">
        <v>5</v>
      </c>
      <c r="F182" s="306"/>
      <c r="G182" s="307"/>
      <c r="I182" s="588" t="s">
        <v>221</v>
      </c>
      <c r="J182" s="589"/>
      <c r="K182" s="590"/>
      <c r="L182" s="499"/>
    </row>
    <row r="183" spans="1:12" ht="12.75">
      <c r="A183" s="308">
        <v>1</v>
      </c>
      <c r="B183" s="244" t="s">
        <v>131</v>
      </c>
      <c r="C183" s="145">
        <f>C169</f>
        <v>590.4143865631024</v>
      </c>
      <c r="D183" s="145">
        <v>31.69922222434957</v>
      </c>
      <c r="E183" s="309">
        <f aca="true" t="shared" si="29" ref="E183:E191">D183/C183</f>
        <v>0.05368978626837985</v>
      </c>
      <c r="I183" s="101">
        <v>30.117732241048316</v>
      </c>
      <c r="J183" s="93">
        <v>1.5814899833012532</v>
      </c>
      <c r="K183" s="106">
        <f>I183+J183</f>
        <v>31.69922222434957</v>
      </c>
      <c r="L183" s="504"/>
    </row>
    <row r="184" spans="1:12" ht="12.75">
      <c r="A184" s="308">
        <v>2</v>
      </c>
      <c r="B184" s="244" t="s">
        <v>132</v>
      </c>
      <c r="C184" s="145">
        <f aca="true" t="shared" si="30" ref="C184:C191">C170</f>
        <v>285.4615619496945</v>
      </c>
      <c r="D184" s="145">
        <v>6.0461110145972015</v>
      </c>
      <c r="E184" s="309">
        <f t="shared" si="29"/>
        <v>0.021180123072621168</v>
      </c>
      <c r="I184" s="101">
        <v>0.9031965663186696</v>
      </c>
      <c r="J184" s="93">
        <v>5.142914448278532</v>
      </c>
      <c r="K184" s="106">
        <f aca="true" t="shared" si="31" ref="K184:K191">I184+J184</f>
        <v>6.0461110145972015</v>
      </c>
      <c r="L184" s="504"/>
    </row>
    <row r="185" spans="1:12" ht="12.75">
      <c r="A185" s="308">
        <v>3</v>
      </c>
      <c r="B185" s="244" t="s">
        <v>133</v>
      </c>
      <c r="C185" s="145">
        <f t="shared" si="30"/>
        <v>252.78771018109302</v>
      </c>
      <c r="D185" s="145">
        <v>11.466041967339123</v>
      </c>
      <c r="E185" s="309">
        <f t="shared" si="29"/>
        <v>0.045358383756572015</v>
      </c>
      <c r="I185" s="101">
        <v>9.718180592443801</v>
      </c>
      <c r="J185" s="93">
        <v>1.7478613748953222</v>
      </c>
      <c r="K185" s="106">
        <f t="shared" si="31"/>
        <v>11.466041967339123</v>
      </c>
      <c r="L185" s="504"/>
    </row>
    <row r="186" spans="1:12" ht="12.75">
      <c r="A186" s="308">
        <v>4</v>
      </c>
      <c r="B186" s="244" t="s">
        <v>134</v>
      </c>
      <c r="C186" s="145">
        <f t="shared" si="30"/>
        <v>559.338518212764</v>
      </c>
      <c r="D186" s="145">
        <v>27.06420186779235</v>
      </c>
      <c r="E186" s="309">
        <f t="shared" si="29"/>
        <v>0.04838608639767864</v>
      </c>
      <c r="I186" s="101">
        <v>23.767481690889724</v>
      </c>
      <c r="J186" s="93">
        <v>3.2967201769026246</v>
      </c>
      <c r="K186" s="106">
        <f t="shared" si="31"/>
        <v>27.06420186779235</v>
      </c>
      <c r="L186" s="504"/>
    </row>
    <row r="187" spans="1:12" ht="12.75">
      <c r="A187" s="308">
        <v>5</v>
      </c>
      <c r="B187" s="244" t="s">
        <v>135</v>
      </c>
      <c r="C187" s="145">
        <f t="shared" si="30"/>
        <v>588.2408120511095</v>
      </c>
      <c r="D187" s="145">
        <v>27.104412641435914</v>
      </c>
      <c r="E187" s="309">
        <f t="shared" si="29"/>
        <v>0.04607706926509706</v>
      </c>
      <c r="I187" s="101">
        <v>23.17958954955145</v>
      </c>
      <c r="J187" s="93">
        <v>3.9248230918844627</v>
      </c>
      <c r="K187" s="106">
        <f t="shared" si="31"/>
        <v>27.104412641435914</v>
      </c>
      <c r="L187" s="504"/>
    </row>
    <row r="188" spans="1:12" ht="12.75">
      <c r="A188" s="308">
        <v>6</v>
      </c>
      <c r="B188" s="244" t="s">
        <v>136</v>
      </c>
      <c r="C188" s="145">
        <f t="shared" si="30"/>
        <v>330.86725848174655</v>
      </c>
      <c r="D188" s="145">
        <v>15.98928336579965</v>
      </c>
      <c r="E188" s="309">
        <f t="shared" si="29"/>
        <v>0.0483253720515285</v>
      </c>
      <c r="I188" s="101">
        <v>14.0323940994829</v>
      </c>
      <c r="J188" s="93">
        <v>1.9568892663167503</v>
      </c>
      <c r="K188" s="106">
        <f t="shared" si="31"/>
        <v>15.98928336579965</v>
      </c>
      <c r="L188" s="504"/>
    </row>
    <row r="189" spans="1:12" ht="12.75">
      <c r="A189" s="308">
        <v>7</v>
      </c>
      <c r="B189" s="244" t="s">
        <v>137</v>
      </c>
      <c r="C189" s="145">
        <f t="shared" si="30"/>
        <v>149.7071060256301</v>
      </c>
      <c r="D189" s="145">
        <v>6.166706997490586</v>
      </c>
      <c r="E189" s="309">
        <f t="shared" si="29"/>
        <v>0.04119181220719633</v>
      </c>
      <c r="I189" s="101">
        <v>4.92136192927137</v>
      </c>
      <c r="J189" s="93">
        <v>1.2453450682192155</v>
      </c>
      <c r="K189" s="106">
        <f t="shared" si="31"/>
        <v>6.166706997490586</v>
      </c>
      <c r="L189" s="504"/>
    </row>
    <row r="190" spans="1:12" ht="13.5" thickBot="1">
      <c r="A190" s="494">
        <v>8</v>
      </c>
      <c r="B190" s="488" t="s">
        <v>300</v>
      </c>
      <c r="C190" s="489">
        <f t="shared" si="30"/>
        <v>244.53793053485984</v>
      </c>
      <c r="D190" s="489">
        <v>11.039637065935935</v>
      </c>
      <c r="E190" s="490">
        <f t="shared" si="29"/>
        <v>0.04514488628324346</v>
      </c>
      <c r="I190" s="102">
        <v>9.331222534658863</v>
      </c>
      <c r="J190" s="104">
        <v>1.7084145312770715</v>
      </c>
      <c r="K190" s="107">
        <f t="shared" si="31"/>
        <v>11.039637065935935</v>
      </c>
      <c r="L190" s="504"/>
    </row>
    <row r="191" spans="1:12" ht="15.75" thickBot="1">
      <c r="A191" s="495"/>
      <c r="B191" s="496" t="s">
        <v>56</v>
      </c>
      <c r="C191" s="492">
        <f t="shared" si="30"/>
        <v>3001.3552839999998</v>
      </c>
      <c r="D191" s="492">
        <v>136.57561714474033</v>
      </c>
      <c r="E191" s="493">
        <f t="shared" si="29"/>
        <v>0.04550464847424586</v>
      </c>
      <c r="I191" s="103">
        <f>SUM(I183:I190)</f>
        <v>115.9711592036651</v>
      </c>
      <c r="J191" s="103">
        <f>SUM(J183:J190)</f>
        <v>20.604457941075232</v>
      </c>
      <c r="K191" s="108">
        <f t="shared" si="31"/>
        <v>136.57561714474033</v>
      </c>
      <c r="L191" s="504"/>
    </row>
    <row r="192" spans="1:5" ht="15">
      <c r="A192" s="53"/>
      <c r="B192" s="44"/>
      <c r="C192" s="52"/>
      <c r="D192" s="52"/>
      <c r="E192" s="312"/>
    </row>
    <row r="193" spans="1:3" ht="15">
      <c r="A193" s="182" t="s">
        <v>166</v>
      </c>
      <c r="B193" s="13"/>
      <c r="C193" s="13"/>
    </row>
    <row r="194" spans="1:6" ht="15" customHeight="1" thickBot="1">
      <c r="A194" s="13"/>
      <c r="F194" s="313" t="s">
        <v>53</v>
      </c>
    </row>
    <row r="195" spans="1:6" ht="39" customHeight="1">
      <c r="A195" s="271" t="s">
        <v>33</v>
      </c>
      <c r="B195" s="272" t="s">
        <v>308</v>
      </c>
      <c r="C195" s="272" t="s">
        <v>321</v>
      </c>
      <c r="D195" s="272" t="s">
        <v>35</v>
      </c>
      <c r="E195" s="272" t="s">
        <v>36</v>
      </c>
      <c r="F195" s="141" t="s">
        <v>55</v>
      </c>
    </row>
    <row r="196" spans="1:6" ht="15.75" customHeight="1" thickBot="1">
      <c r="A196" s="314">
        <f>C191</f>
        <v>3001.3552839999998</v>
      </c>
      <c r="B196" s="315">
        <f>D177</f>
        <v>173.82052114474016</v>
      </c>
      <c r="C196" s="316">
        <f>E211</f>
        <v>2346.2600000000007</v>
      </c>
      <c r="D196" s="316">
        <f>B196+C196</f>
        <v>2520.080521144741</v>
      </c>
      <c r="E196" s="317">
        <f>D196/A196</f>
        <v>0.8396475200983707</v>
      </c>
      <c r="F196" s="318">
        <f>A196*0.85</f>
        <v>2551.1519913999996</v>
      </c>
    </row>
    <row r="197" spans="1:7" ht="12" customHeight="1">
      <c r="A197" s="54" t="s">
        <v>275</v>
      </c>
      <c r="B197" s="55"/>
      <c r="C197" s="146"/>
      <c r="D197" s="146"/>
      <c r="E197" s="147"/>
      <c r="F197" s="56"/>
      <c r="G197" s="57"/>
    </row>
    <row r="198" ht="10.5" customHeight="1"/>
    <row r="199" spans="1:7" ht="15">
      <c r="A199" s="587" t="s">
        <v>249</v>
      </c>
      <c r="B199" s="587"/>
      <c r="C199" s="587"/>
      <c r="D199" s="587"/>
      <c r="E199" s="587"/>
      <c r="F199" s="587"/>
      <c r="G199" s="587"/>
    </row>
    <row r="200" ht="12.75" customHeight="1" thickBot="1">
      <c r="G200" s="313" t="s">
        <v>53</v>
      </c>
    </row>
    <row r="201" spans="1:7" ht="38.25" customHeight="1">
      <c r="A201" s="319" t="s">
        <v>32</v>
      </c>
      <c r="B201" s="320" t="s">
        <v>2</v>
      </c>
      <c r="C201" s="320" t="s">
        <v>149</v>
      </c>
      <c r="D201" s="320" t="s">
        <v>298</v>
      </c>
      <c r="E201" s="320" t="s">
        <v>104</v>
      </c>
      <c r="F201" s="320" t="s">
        <v>35</v>
      </c>
      <c r="G201" s="321" t="s">
        <v>36</v>
      </c>
    </row>
    <row r="202" spans="1:7" s="15" customFormat="1" ht="12.75">
      <c r="A202" s="322">
        <v>1</v>
      </c>
      <c r="B202" s="323">
        <v>2</v>
      </c>
      <c r="C202" s="323">
        <v>3</v>
      </c>
      <c r="D202" s="323">
        <v>4</v>
      </c>
      <c r="E202" s="323">
        <v>5</v>
      </c>
      <c r="F202" s="323">
        <v>6</v>
      </c>
      <c r="G202" s="324">
        <v>7</v>
      </c>
    </row>
    <row r="203" spans="1:13" ht="15" customHeight="1">
      <c r="A203" s="308">
        <v>1</v>
      </c>
      <c r="B203" s="244" t="s">
        <v>131</v>
      </c>
      <c r="C203" s="145">
        <f>C169</f>
        <v>590.4143865631024</v>
      </c>
      <c r="D203" s="145">
        <f>D169</f>
        <v>34.239229364353605</v>
      </c>
      <c r="E203" s="325">
        <v>461.4941155071906</v>
      </c>
      <c r="F203" s="145">
        <f aca="true" t="shared" si="32" ref="F203:F210">D203+E203</f>
        <v>495.7333448715442</v>
      </c>
      <c r="G203" s="326">
        <f>F203/C203</f>
        <v>0.8396362896190388</v>
      </c>
      <c r="J203" s="34">
        <v>23.007968037718893</v>
      </c>
      <c r="K203" s="34">
        <v>27.16203138722052</v>
      </c>
      <c r="L203" s="34"/>
      <c r="M203" s="34">
        <f>J203+K203</f>
        <v>50.16999942493941</v>
      </c>
    </row>
    <row r="204" spans="1:13" ht="15" customHeight="1">
      <c r="A204" s="308">
        <v>2</v>
      </c>
      <c r="B204" s="244" t="s">
        <v>132</v>
      </c>
      <c r="C204" s="145">
        <f aca="true" t="shared" si="33" ref="C204:D210">C170</f>
        <v>285.4615619496945</v>
      </c>
      <c r="D204" s="145">
        <f t="shared" si="33"/>
        <v>16.58837556136151</v>
      </c>
      <c r="E204" s="325">
        <v>223.09061680604117</v>
      </c>
      <c r="F204" s="145">
        <f t="shared" si="32"/>
        <v>239.67899236740269</v>
      </c>
      <c r="G204" s="326">
        <f aca="true" t="shared" si="34" ref="G204:G211">F204/C204</f>
        <v>0.8396191442742829</v>
      </c>
      <c r="J204" s="34">
        <v>12.327134212500184</v>
      </c>
      <c r="K204" s="34">
        <v>13.596775745383308</v>
      </c>
      <c r="L204" s="34"/>
      <c r="M204" s="34">
        <f aca="true" t="shared" si="35" ref="M204:M211">J204+K204</f>
        <v>25.92390995788349</v>
      </c>
    </row>
    <row r="205" spans="1:13" ht="15" customHeight="1">
      <c r="A205" s="308">
        <v>3</v>
      </c>
      <c r="B205" s="244" t="s">
        <v>133</v>
      </c>
      <c r="C205" s="145">
        <f t="shared" si="33"/>
        <v>252.78771018109302</v>
      </c>
      <c r="D205" s="145">
        <f t="shared" si="33"/>
        <v>14.641738550287233</v>
      </c>
      <c r="E205" s="325">
        <v>197.6105774170519</v>
      </c>
      <c r="F205" s="145">
        <f t="shared" si="32"/>
        <v>212.25231596733914</v>
      </c>
      <c r="G205" s="326">
        <f t="shared" si="34"/>
        <v>0.8396464994887807</v>
      </c>
      <c r="J205" s="34">
        <v>8.59442769476752</v>
      </c>
      <c r="K205" s="34">
        <v>12.3132447299621</v>
      </c>
      <c r="L205" s="34"/>
      <c r="M205" s="34">
        <f t="shared" si="35"/>
        <v>20.90767242472962</v>
      </c>
    </row>
    <row r="206" spans="1:13" ht="15" customHeight="1">
      <c r="A206" s="308">
        <v>4</v>
      </c>
      <c r="B206" s="244" t="s">
        <v>134</v>
      </c>
      <c r="C206" s="145">
        <f t="shared" si="33"/>
        <v>559.338518212764</v>
      </c>
      <c r="D206" s="145">
        <f t="shared" si="33"/>
        <v>32.31557694946012</v>
      </c>
      <c r="E206" s="325">
        <v>437.3428689183323</v>
      </c>
      <c r="F206" s="145">
        <f t="shared" si="32"/>
        <v>469.6584458677924</v>
      </c>
      <c r="G206" s="326">
        <f t="shared" si="34"/>
        <v>0.8396676262676788</v>
      </c>
      <c r="J206" s="34">
        <v>14.659234075353005</v>
      </c>
      <c r="K206" s="34">
        <v>27.71273257565609</v>
      </c>
      <c r="L206" s="34"/>
      <c r="M206" s="34">
        <f t="shared" si="35"/>
        <v>42.371966651009096</v>
      </c>
    </row>
    <row r="207" spans="1:13" ht="15" customHeight="1">
      <c r="A207" s="308">
        <v>5</v>
      </c>
      <c r="B207" s="244" t="s">
        <v>135</v>
      </c>
      <c r="C207" s="145">
        <f t="shared" si="33"/>
        <v>588.2408120511095</v>
      </c>
      <c r="D207" s="145">
        <f t="shared" si="33"/>
        <v>34.05109689983169</v>
      </c>
      <c r="E207" s="325">
        <v>459.8661917416042</v>
      </c>
      <c r="F207" s="145">
        <f t="shared" si="32"/>
        <v>493.9172886414359</v>
      </c>
      <c r="G207" s="326">
        <f t="shared" si="34"/>
        <v>0.8396515143504217</v>
      </c>
      <c r="J207" s="34">
        <v>19.84866129663859</v>
      </c>
      <c r="K207" s="34">
        <v>28.6934079582251</v>
      </c>
      <c r="L207" s="34"/>
      <c r="M207" s="34">
        <f t="shared" si="35"/>
        <v>48.54206925486369</v>
      </c>
    </row>
    <row r="208" spans="1:13" ht="15" customHeight="1">
      <c r="A208" s="308">
        <v>6</v>
      </c>
      <c r="B208" s="244" t="s">
        <v>136</v>
      </c>
      <c r="C208" s="145">
        <f t="shared" si="33"/>
        <v>330.86725848174655</v>
      </c>
      <c r="D208" s="145">
        <f t="shared" si="33"/>
        <v>19.116705737638284</v>
      </c>
      <c r="E208" s="325">
        <v>258.7016796281614</v>
      </c>
      <c r="F208" s="145">
        <f t="shared" si="32"/>
        <v>277.8183853657997</v>
      </c>
      <c r="G208" s="326">
        <f t="shared" si="34"/>
        <v>0.8396672026136021</v>
      </c>
      <c r="J208" s="34">
        <v>9.743643411592007</v>
      </c>
      <c r="K208" s="34">
        <v>16.838773186582042</v>
      </c>
      <c r="L208" s="34"/>
      <c r="M208" s="34">
        <f t="shared" si="35"/>
        <v>26.58241659817405</v>
      </c>
    </row>
    <row r="209" spans="1:13" ht="15" customHeight="1">
      <c r="A209" s="308">
        <v>7</v>
      </c>
      <c r="B209" s="244" t="s">
        <v>137</v>
      </c>
      <c r="C209" s="145">
        <f t="shared" si="33"/>
        <v>149.7071060256301</v>
      </c>
      <c r="D209" s="145">
        <f t="shared" si="33"/>
        <v>8.701370348586357</v>
      </c>
      <c r="E209" s="325">
        <v>116.99532464890424</v>
      </c>
      <c r="F209" s="145">
        <f t="shared" si="32"/>
        <v>125.6966949974906</v>
      </c>
      <c r="G209" s="326">
        <f t="shared" si="34"/>
        <v>0.8396174258820494</v>
      </c>
      <c r="J209" s="34">
        <v>6.379045053154684</v>
      </c>
      <c r="K209" s="34">
        <v>11.89645769237027</v>
      </c>
      <c r="L209" s="34"/>
      <c r="M209" s="34">
        <f t="shared" si="35"/>
        <v>18.275502745524953</v>
      </c>
    </row>
    <row r="210" spans="1:13" ht="15" customHeight="1" thickBot="1">
      <c r="A210" s="494">
        <v>8</v>
      </c>
      <c r="B210" s="488" t="s">
        <v>300</v>
      </c>
      <c r="C210" s="489">
        <f t="shared" si="33"/>
        <v>244.53793053485984</v>
      </c>
      <c r="D210" s="489">
        <f t="shared" si="33"/>
        <v>14.16642773322138</v>
      </c>
      <c r="E210" s="516">
        <v>191.15862533271456</v>
      </c>
      <c r="F210" s="489">
        <f t="shared" si="32"/>
        <v>205.32505306593595</v>
      </c>
      <c r="G210" s="517">
        <f t="shared" si="34"/>
        <v>0.8396450097407938</v>
      </c>
      <c r="J210" s="34">
        <v>6.455360159350062</v>
      </c>
      <c r="K210" s="34">
        <v>6.186907928266269</v>
      </c>
      <c r="L210" s="34"/>
      <c r="M210" s="34">
        <f t="shared" si="35"/>
        <v>12.64226808761633</v>
      </c>
    </row>
    <row r="211" spans="1:13" s="13" customFormat="1" ht="15" customHeight="1" thickBot="1">
      <c r="A211" s="518"/>
      <c r="B211" s="496" t="s">
        <v>56</v>
      </c>
      <c r="C211" s="492">
        <f>SUM(C203:C210)</f>
        <v>3001.3552839999998</v>
      </c>
      <c r="D211" s="492">
        <f>SUM(D203:D210)</f>
        <v>173.82052114474018</v>
      </c>
      <c r="E211" s="492">
        <f>SUM(E203:E210)</f>
        <v>2346.2600000000007</v>
      </c>
      <c r="F211" s="492">
        <f>SUM(F203:F210)</f>
        <v>2520.080521144741</v>
      </c>
      <c r="G211" s="519">
        <f t="shared" si="34"/>
        <v>0.8396475200983707</v>
      </c>
      <c r="J211" s="136">
        <v>101.01547394107494</v>
      </c>
      <c r="K211" s="34">
        <v>144.4003312036657</v>
      </c>
      <c r="L211" s="34"/>
      <c r="M211" s="34">
        <f t="shared" si="35"/>
        <v>245.41580514474066</v>
      </c>
    </row>
    <row r="212" ht="15.75" customHeight="1">
      <c r="A212" s="58"/>
    </row>
    <row r="213" spans="1:8" ht="15">
      <c r="A213" s="182" t="s">
        <v>127</v>
      </c>
      <c r="B213" s="183"/>
      <c r="C213" s="183"/>
      <c r="D213" s="183"/>
      <c r="H213" s="21"/>
    </row>
    <row r="214" ht="6.75" customHeight="1" thickBot="1">
      <c r="A214" s="13"/>
    </row>
    <row r="215" spans="1:5" ht="33.75" customHeight="1">
      <c r="A215" s="211" t="s">
        <v>33</v>
      </c>
      <c r="B215" s="212" t="s">
        <v>169</v>
      </c>
      <c r="C215" s="212" t="s">
        <v>170</v>
      </c>
      <c r="D215" s="212" t="s">
        <v>38</v>
      </c>
      <c r="E215" s="213" t="s">
        <v>37</v>
      </c>
    </row>
    <row r="216" spans="1:5" ht="18.75" customHeight="1" thickBot="1">
      <c r="A216" s="327">
        <f>C211</f>
        <v>3001.3552839999998</v>
      </c>
      <c r="B216" s="291">
        <f>F211</f>
        <v>2520.080521144741</v>
      </c>
      <c r="C216" s="328">
        <f>B216/A216</f>
        <v>0.8396475200983707</v>
      </c>
      <c r="D216" s="291">
        <f>D230</f>
        <v>2383.504904000001</v>
      </c>
      <c r="E216" s="293">
        <f>D216/A216</f>
        <v>0.7941428716241249</v>
      </c>
    </row>
    <row r="217" ht="12.75" customHeight="1">
      <c r="A217" s="13"/>
    </row>
    <row r="218" spans="1:7" ht="15">
      <c r="A218" s="597" t="s">
        <v>322</v>
      </c>
      <c r="B218" s="597"/>
      <c r="C218" s="597"/>
      <c r="D218" s="597"/>
      <c r="E218" s="597"/>
      <c r="F218" s="597"/>
      <c r="G218" s="88"/>
    </row>
    <row r="219" spans="1:6" ht="12" customHeight="1" thickBot="1">
      <c r="A219" s="85"/>
      <c r="B219" s="88"/>
      <c r="C219" s="88"/>
      <c r="D219" s="88"/>
      <c r="E219" s="88"/>
      <c r="F219" s="88"/>
    </row>
    <row r="220" spans="1:12" ht="18" customHeight="1">
      <c r="A220" s="329" t="s">
        <v>32</v>
      </c>
      <c r="B220" s="298" t="s">
        <v>2</v>
      </c>
      <c r="C220" s="298" t="s">
        <v>149</v>
      </c>
      <c r="D220" s="298" t="s">
        <v>38</v>
      </c>
      <c r="E220" s="330" t="s">
        <v>37</v>
      </c>
      <c r="F220" s="88"/>
      <c r="I220" s="98" t="s">
        <v>200</v>
      </c>
      <c r="J220" s="99" t="s">
        <v>214</v>
      </c>
      <c r="K220" s="100" t="s">
        <v>3</v>
      </c>
      <c r="L220" s="239"/>
    </row>
    <row r="221" spans="1:12" s="15" customFormat="1" ht="13.5" thickBot="1">
      <c r="A221" s="480">
        <v>1</v>
      </c>
      <c r="B221" s="481">
        <v>2</v>
      </c>
      <c r="C221" s="481">
        <v>3</v>
      </c>
      <c r="D221" s="481">
        <v>4</v>
      </c>
      <c r="E221" s="482">
        <v>5</v>
      </c>
      <c r="F221" s="89"/>
      <c r="I221" s="588" t="s">
        <v>222</v>
      </c>
      <c r="J221" s="589"/>
      <c r="K221" s="590"/>
      <c r="L221" s="499"/>
    </row>
    <row r="222" spans="1:12" ht="15" customHeight="1">
      <c r="A222" s="476">
        <v>1</v>
      </c>
      <c r="B222" s="477" t="s">
        <v>131</v>
      </c>
      <c r="C222" s="478">
        <f>C203</f>
        <v>590.4143865631024</v>
      </c>
      <c r="D222" s="478">
        <v>464.03412264719464</v>
      </c>
      <c r="E222" s="479">
        <f aca="true" t="shared" si="36" ref="E222:E230">D222/C222</f>
        <v>0.785946503350659</v>
      </c>
      <c r="F222" s="331"/>
      <c r="I222" s="101">
        <v>331.1500375365086</v>
      </c>
      <c r="J222" s="93">
        <v>282.6304711379639</v>
      </c>
      <c r="K222" s="106">
        <f aca="true" t="shared" si="37" ref="K222:K229">SUM(I222:J222)</f>
        <v>613.7805086744725</v>
      </c>
      <c r="L222" s="504"/>
    </row>
    <row r="223" spans="1:12" ht="15" customHeight="1">
      <c r="A223" s="308">
        <v>2</v>
      </c>
      <c r="B223" s="244" t="s">
        <v>132</v>
      </c>
      <c r="C223" s="478">
        <f aca="true" t="shared" si="38" ref="C223:C229">C204</f>
        <v>285.4615619496945</v>
      </c>
      <c r="D223" s="145">
        <v>233.6328813528055</v>
      </c>
      <c r="E223" s="332">
        <f t="shared" si="36"/>
        <v>0.8184390212016618</v>
      </c>
      <c r="F223" s="331"/>
      <c r="I223" s="101">
        <v>165.76715983685926</v>
      </c>
      <c r="J223" s="93">
        <v>151.426833719005</v>
      </c>
      <c r="K223" s="106">
        <f t="shared" si="37"/>
        <v>317.19399355586427</v>
      </c>
      <c r="L223" s="504"/>
    </row>
    <row r="224" spans="1:12" ht="15" customHeight="1">
      <c r="A224" s="308">
        <v>3</v>
      </c>
      <c r="B224" s="244" t="s">
        <v>133</v>
      </c>
      <c r="C224" s="478">
        <f t="shared" si="38"/>
        <v>252.78771018109302</v>
      </c>
      <c r="D224" s="145">
        <v>200.78627400000002</v>
      </c>
      <c r="E224" s="332">
        <f t="shared" si="36"/>
        <v>0.7942881157322086</v>
      </c>
      <c r="F224" s="331"/>
      <c r="I224" s="101">
        <v>150.1187962120391</v>
      </c>
      <c r="J224" s="93">
        <v>105.57417085034056</v>
      </c>
      <c r="K224" s="106">
        <f t="shared" si="37"/>
        <v>255.69296706237964</v>
      </c>
      <c r="L224" s="504"/>
    </row>
    <row r="225" spans="1:12" ht="15" customHeight="1">
      <c r="A225" s="308">
        <v>4</v>
      </c>
      <c r="B225" s="244" t="s">
        <v>134</v>
      </c>
      <c r="C225" s="478">
        <f t="shared" si="38"/>
        <v>559.338518212764</v>
      </c>
      <c r="D225" s="145">
        <v>442.594244</v>
      </c>
      <c r="E225" s="332">
        <f t="shared" si="36"/>
        <v>0.79128153987</v>
      </c>
      <c r="F225" s="331"/>
      <c r="I225" s="101">
        <v>337.8639948478031</v>
      </c>
      <c r="J225" s="93">
        <v>180.07440841566313</v>
      </c>
      <c r="K225" s="106">
        <f t="shared" si="37"/>
        <v>517.9384032634662</v>
      </c>
      <c r="L225" s="504"/>
    </row>
    <row r="226" spans="1:12" ht="15" customHeight="1">
      <c r="A226" s="308">
        <v>5</v>
      </c>
      <c r="B226" s="244" t="s">
        <v>135</v>
      </c>
      <c r="C226" s="478">
        <f t="shared" si="38"/>
        <v>588.2408120511095</v>
      </c>
      <c r="D226" s="145">
        <v>466.812876</v>
      </c>
      <c r="E226" s="332">
        <f t="shared" si="36"/>
        <v>0.7935744450853247</v>
      </c>
      <c r="F226" s="331"/>
      <c r="I226" s="101">
        <v>349.82004795440724</v>
      </c>
      <c r="J226" s="93">
        <v>243.8214658734817</v>
      </c>
      <c r="K226" s="106">
        <f t="shared" si="37"/>
        <v>593.641513827889</v>
      </c>
      <c r="L226" s="504"/>
    </row>
    <row r="227" spans="1:12" ht="15" customHeight="1">
      <c r="A227" s="308">
        <v>6</v>
      </c>
      <c r="B227" s="244" t="s">
        <v>136</v>
      </c>
      <c r="C227" s="478">
        <f t="shared" si="38"/>
        <v>330.86725848174655</v>
      </c>
      <c r="D227" s="145">
        <v>261.829102</v>
      </c>
      <c r="E227" s="332">
        <f t="shared" si="36"/>
        <v>0.7913418305620733</v>
      </c>
      <c r="F227" s="331"/>
      <c r="I227" s="101">
        <v>205.29246481280958</v>
      </c>
      <c r="J227" s="93">
        <v>119.69116627352528</v>
      </c>
      <c r="K227" s="106">
        <f t="shared" si="37"/>
        <v>324.98363108633487</v>
      </c>
      <c r="L227" s="504"/>
    </row>
    <row r="228" spans="1:12" ht="15" customHeight="1">
      <c r="A228" s="308">
        <v>7</v>
      </c>
      <c r="B228" s="244" t="s">
        <v>137</v>
      </c>
      <c r="C228" s="478">
        <f t="shared" si="38"/>
        <v>149.7071060256301</v>
      </c>
      <c r="D228" s="145">
        <v>119.529988</v>
      </c>
      <c r="E228" s="332">
        <f t="shared" si="36"/>
        <v>0.798425613674853</v>
      </c>
      <c r="F228" s="331"/>
      <c r="I228" s="101">
        <v>145.0374736417323</v>
      </c>
      <c r="J228" s="93">
        <v>78.36035350134965</v>
      </c>
      <c r="K228" s="106">
        <f t="shared" si="37"/>
        <v>223.39782714308194</v>
      </c>
      <c r="L228" s="504"/>
    </row>
    <row r="229" spans="1:12" ht="15" customHeight="1" thickBot="1">
      <c r="A229" s="494">
        <v>8</v>
      </c>
      <c r="B229" s="488" t="s">
        <v>300</v>
      </c>
      <c r="C229" s="520">
        <f t="shared" si="38"/>
        <v>244.53793053485984</v>
      </c>
      <c r="D229" s="489">
        <v>194.285416</v>
      </c>
      <c r="E229" s="521">
        <f t="shared" si="36"/>
        <v>0.7945001234575503</v>
      </c>
      <c r="F229" s="331"/>
      <c r="I229" s="102">
        <v>75.42862915784113</v>
      </c>
      <c r="J229" s="104">
        <v>79.29781022867053</v>
      </c>
      <c r="K229" s="107">
        <f t="shared" si="37"/>
        <v>154.72643938651166</v>
      </c>
      <c r="L229" s="504"/>
    </row>
    <row r="230" spans="1:13" s="13" customFormat="1" ht="15" customHeight="1" thickBot="1">
      <c r="A230" s="518"/>
      <c r="B230" s="496" t="s">
        <v>56</v>
      </c>
      <c r="C230" s="492">
        <f>SUM(C222:C229)</f>
        <v>3001.3552839999998</v>
      </c>
      <c r="D230" s="492">
        <f>SUM(D222:D229)</f>
        <v>2383.504904000001</v>
      </c>
      <c r="E230" s="522">
        <f t="shared" si="36"/>
        <v>0.7941428716241249</v>
      </c>
      <c r="F230" s="333"/>
      <c r="I230" s="103">
        <v>1760.4786040000004</v>
      </c>
      <c r="J230" s="105">
        <v>1240.8766799999999</v>
      </c>
      <c r="K230" s="108">
        <f>SUM(K222:K229)</f>
        <v>3001.3552839999998</v>
      </c>
      <c r="L230" s="504"/>
      <c r="M230" s="4"/>
    </row>
    <row r="231" spans="1:6" ht="15" customHeight="1">
      <c r="A231" s="334"/>
      <c r="B231" s="265"/>
      <c r="C231" s="335"/>
      <c r="D231" s="335"/>
      <c r="E231" s="336"/>
      <c r="F231" s="88"/>
    </row>
    <row r="232" spans="1:8" ht="15">
      <c r="A232" s="182" t="s">
        <v>128</v>
      </c>
      <c r="B232" s="183"/>
      <c r="C232" s="183"/>
      <c r="D232" s="183"/>
      <c r="H232" s="21"/>
    </row>
    <row r="233" ht="6.75" customHeight="1" thickBot="1">
      <c r="A233" s="13"/>
    </row>
    <row r="234" spans="1:6" ht="25.5">
      <c r="A234" s="337" t="s">
        <v>33</v>
      </c>
      <c r="B234" s="338" t="s">
        <v>35</v>
      </c>
      <c r="C234" s="338" t="s">
        <v>110</v>
      </c>
      <c r="D234" s="338" t="s">
        <v>111</v>
      </c>
      <c r="E234" s="338" t="s">
        <v>112</v>
      </c>
      <c r="F234" s="339" t="s">
        <v>113</v>
      </c>
    </row>
    <row r="235" spans="1:6" ht="18.75" customHeight="1" thickBot="1">
      <c r="A235" s="340">
        <f>C230</f>
        <v>3001.3552839999998</v>
      </c>
      <c r="B235" s="292">
        <f>F211</f>
        <v>2520.080521144741</v>
      </c>
      <c r="C235" s="341">
        <f>B235/A235</f>
        <v>0.8396475200983707</v>
      </c>
      <c r="D235" s="292">
        <f>D249</f>
        <v>70.38780000000001</v>
      </c>
      <c r="E235" s="342">
        <f>E249</f>
        <v>70.38780000000001</v>
      </c>
      <c r="F235" s="343">
        <f>E235/D235</f>
        <v>1</v>
      </c>
    </row>
    <row r="236" ht="7.5" customHeight="1">
      <c r="A236" s="13"/>
    </row>
    <row r="237" spans="1:3" ht="15">
      <c r="A237" s="182" t="s">
        <v>129</v>
      </c>
      <c r="B237" s="183"/>
      <c r="C237" s="183"/>
    </row>
    <row r="238" ht="6.75" customHeight="1" thickBot="1">
      <c r="A238" s="13"/>
    </row>
    <row r="239" spans="1:7" ht="25.5">
      <c r="A239" s="211" t="s">
        <v>32</v>
      </c>
      <c r="B239" s="212" t="s">
        <v>2</v>
      </c>
      <c r="C239" s="212" t="s">
        <v>33</v>
      </c>
      <c r="D239" s="338" t="s">
        <v>114</v>
      </c>
      <c r="E239" s="338" t="s">
        <v>115</v>
      </c>
      <c r="F239" s="338" t="s">
        <v>116</v>
      </c>
      <c r="G239" s="339" t="s">
        <v>117</v>
      </c>
    </row>
    <row r="240" spans="1:7" ht="12.75">
      <c r="A240" s="344">
        <v>1</v>
      </c>
      <c r="B240" s="345">
        <v>2</v>
      </c>
      <c r="C240" s="346">
        <v>3</v>
      </c>
      <c r="D240" s="345">
        <v>4</v>
      </c>
      <c r="E240" s="347">
        <v>5</v>
      </c>
      <c r="F240" s="346">
        <v>6</v>
      </c>
      <c r="G240" s="348">
        <v>7</v>
      </c>
    </row>
    <row r="241" spans="1:12" ht="15" customHeight="1">
      <c r="A241" s="222">
        <v>1</v>
      </c>
      <c r="B241" s="244" t="s">
        <v>131</v>
      </c>
      <c r="C241" s="109">
        <v>17.071688824388506</v>
      </c>
      <c r="D241" s="93">
        <v>13.844823465215718</v>
      </c>
      <c r="E241" s="93">
        <v>13.844823465215718</v>
      </c>
      <c r="F241" s="93">
        <f>E241-D241</f>
        <v>0</v>
      </c>
      <c r="G241" s="203">
        <f aca="true" t="shared" si="39" ref="G241:G249">E241/D241</f>
        <v>1</v>
      </c>
      <c r="I241" s="60"/>
      <c r="K241" s="34"/>
      <c r="L241" s="34"/>
    </row>
    <row r="242" spans="1:12" ht="15" customHeight="1">
      <c r="A242" s="222">
        <v>2</v>
      </c>
      <c r="B242" s="244" t="s">
        <v>132</v>
      </c>
      <c r="C242" s="109">
        <v>8.710465581477797</v>
      </c>
      <c r="D242" s="93">
        <v>6.692718504181236</v>
      </c>
      <c r="E242" s="93">
        <v>6.692718504181236</v>
      </c>
      <c r="F242" s="93">
        <f aca="true" t="shared" si="40" ref="F242:F248">E242-D242</f>
        <v>0</v>
      </c>
      <c r="G242" s="203">
        <f t="shared" si="39"/>
        <v>1</v>
      </c>
      <c r="I242" s="60"/>
      <c r="K242" s="34"/>
      <c r="L242" s="34"/>
    </row>
    <row r="243" spans="1:12" ht="15" customHeight="1">
      <c r="A243" s="222">
        <v>3</v>
      </c>
      <c r="B243" s="244" t="s">
        <v>133</v>
      </c>
      <c r="C243" s="109">
        <v>7.574977164304956</v>
      </c>
      <c r="D243" s="93">
        <v>5.928317322511557</v>
      </c>
      <c r="E243" s="93">
        <v>5.928317322511557</v>
      </c>
      <c r="F243" s="93">
        <f t="shared" si="40"/>
        <v>0</v>
      </c>
      <c r="G243" s="203">
        <f t="shared" si="39"/>
        <v>1</v>
      </c>
      <c r="I243" s="60"/>
      <c r="K243" s="34"/>
      <c r="L243" s="34"/>
    </row>
    <row r="244" spans="1:12" ht="15" customHeight="1">
      <c r="A244" s="222">
        <v>4</v>
      </c>
      <c r="B244" s="244" t="s">
        <v>134</v>
      </c>
      <c r="C244" s="109">
        <v>17.157390941954596</v>
      </c>
      <c r="D244" s="93">
        <v>13.120286067549968</v>
      </c>
      <c r="E244" s="93">
        <v>13.120286067549968</v>
      </c>
      <c r="F244" s="93">
        <f t="shared" si="40"/>
        <v>0</v>
      </c>
      <c r="G244" s="203">
        <f t="shared" si="39"/>
        <v>1</v>
      </c>
      <c r="I244" s="60"/>
      <c r="K244" s="34"/>
      <c r="L244" s="34"/>
    </row>
    <row r="245" spans="1:12" ht="15" customHeight="1">
      <c r="A245" s="222">
        <v>5</v>
      </c>
      <c r="B245" s="244" t="s">
        <v>135</v>
      </c>
      <c r="C245" s="109">
        <v>17.726037567095066</v>
      </c>
      <c r="D245" s="93">
        <v>13.795985752248127</v>
      </c>
      <c r="E245" s="93">
        <v>13.795985752248127</v>
      </c>
      <c r="F245" s="93">
        <f t="shared" si="40"/>
        <v>0</v>
      </c>
      <c r="G245" s="203">
        <f t="shared" si="39"/>
        <v>1</v>
      </c>
      <c r="I245" s="60"/>
      <c r="K245" s="34"/>
      <c r="L245" s="34"/>
    </row>
    <row r="246" spans="1:12" ht="15" customHeight="1">
      <c r="A246" s="222">
        <v>6</v>
      </c>
      <c r="B246" s="244" t="s">
        <v>136</v>
      </c>
      <c r="C246" s="109">
        <v>10.144463082936678</v>
      </c>
      <c r="D246" s="93">
        <v>7.761050388844842</v>
      </c>
      <c r="E246" s="93">
        <v>7.761050388844842</v>
      </c>
      <c r="F246" s="93">
        <f t="shared" si="40"/>
        <v>0</v>
      </c>
      <c r="G246" s="203">
        <f t="shared" si="39"/>
        <v>1</v>
      </c>
      <c r="I246" s="60"/>
      <c r="K246" s="34"/>
      <c r="L246" s="34"/>
    </row>
    <row r="247" spans="1:12" ht="15" customHeight="1">
      <c r="A247" s="222">
        <v>7</v>
      </c>
      <c r="B247" s="244" t="s">
        <v>137</v>
      </c>
      <c r="C247" s="109">
        <v>4.340089046479899</v>
      </c>
      <c r="D247" s="93">
        <v>3.509859739467127</v>
      </c>
      <c r="E247" s="93">
        <v>3.509859739467127</v>
      </c>
      <c r="F247" s="93">
        <f t="shared" si="40"/>
        <v>0</v>
      </c>
      <c r="G247" s="203">
        <f t="shared" si="39"/>
        <v>1</v>
      </c>
      <c r="I247" s="60"/>
      <c r="K247" s="34"/>
      <c r="L247" s="34"/>
    </row>
    <row r="248" spans="1:12" ht="15" customHeight="1">
      <c r="A248" s="222">
        <v>8</v>
      </c>
      <c r="B248" s="244" t="s">
        <v>300</v>
      </c>
      <c r="C248" s="109">
        <v>7.315546311362474</v>
      </c>
      <c r="D248" s="93">
        <v>5.734758759981437</v>
      </c>
      <c r="E248" s="93">
        <v>5.734758759981437</v>
      </c>
      <c r="F248" s="93">
        <f t="shared" si="40"/>
        <v>0</v>
      </c>
      <c r="G248" s="203">
        <f t="shared" si="39"/>
        <v>1</v>
      </c>
      <c r="I248" s="60"/>
      <c r="K248" s="34"/>
      <c r="L248" s="34"/>
    </row>
    <row r="249" spans="1:12" ht="15" customHeight="1" thickBot="1">
      <c r="A249" s="349"/>
      <c r="B249" s="246" t="s">
        <v>56</v>
      </c>
      <c r="C249" s="259">
        <f>SUM(C241:C248)</f>
        <v>90.04065851999997</v>
      </c>
      <c r="D249" s="259">
        <f>SUM(D241:D248)</f>
        <v>70.38780000000001</v>
      </c>
      <c r="E249" s="259">
        <f>SUM(E241:E248)</f>
        <v>70.38780000000001</v>
      </c>
      <c r="F249" s="259">
        <f>SUM(F241:F248)</f>
        <v>0</v>
      </c>
      <c r="G249" s="260">
        <f t="shared" si="39"/>
        <v>1</v>
      </c>
      <c r="I249" s="61"/>
      <c r="K249" s="34"/>
      <c r="L249" s="34"/>
    </row>
    <row r="250" spans="1:12" ht="15" customHeight="1">
      <c r="A250" s="53"/>
      <c r="B250" s="44"/>
      <c r="C250" s="52"/>
      <c r="D250" s="52"/>
      <c r="E250" s="52"/>
      <c r="F250" s="62"/>
      <c r="G250" s="29"/>
      <c r="I250" s="61"/>
      <c r="K250" s="34"/>
      <c r="L250" s="34"/>
    </row>
    <row r="251" spans="1:12" ht="15" customHeight="1">
      <c r="A251" s="53"/>
      <c r="B251" s="44"/>
      <c r="C251" s="52"/>
      <c r="D251" s="52"/>
      <c r="E251" s="52"/>
      <c r="F251" s="62"/>
      <c r="G251" s="29"/>
      <c r="I251" s="61"/>
      <c r="K251" s="34"/>
      <c r="L251" s="34"/>
    </row>
    <row r="252" spans="1:5" ht="15.75">
      <c r="A252" s="63" t="s">
        <v>213</v>
      </c>
      <c r="B252" s="64"/>
      <c r="C252" s="64"/>
      <c r="D252" s="64"/>
      <c r="E252" s="81"/>
    </row>
    <row r="253" ht="5.25" customHeight="1">
      <c r="A253" s="58"/>
    </row>
    <row r="254" ht="12.75" hidden="1">
      <c r="A254" s="58"/>
    </row>
    <row r="255" spans="1:7" ht="12.75" hidden="1">
      <c r="A255" s="39"/>
      <c r="B255" s="39" t="s">
        <v>39</v>
      </c>
      <c r="C255" s="39"/>
      <c r="D255" s="39"/>
      <c r="E255" s="39"/>
      <c r="F255" s="39"/>
      <c r="G255" s="39"/>
    </row>
    <row r="256" spans="1:7" ht="12.75" hidden="1">
      <c r="A256" s="39"/>
      <c r="B256" s="39"/>
      <c r="C256" s="39"/>
      <c r="D256" s="39"/>
      <c r="E256" s="39"/>
      <c r="F256" s="39"/>
      <c r="G256" s="39"/>
    </row>
    <row r="257" spans="1:7" ht="12.75" hidden="1">
      <c r="A257" s="39"/>
      <c r="B257" s="39" t="s">
        <v>40</v>
      </c>
      <c r="E257" s="50">
        <f>8581264*220*1.5/10000000</f>
        <v>283.181712</v>
      </c>
      <c r="F257" s="39"/>
      <c r="G257" s="39"/>
    </row>
    <row r="258" spans="1:7" ht="12.75" hidden="1">
      <c r="A258" s="39"/>
      <c r="B258" s="39" t="s">
        <v>41</v>
      </c>
      <c r="E258" s="50">
        <f>8581264*220*1/10000000</f>
        <v>188.787808</v>
      </c>
      <c r="F258" s="39"/>
      <c r="G258" s="39"/>
    </row>
    <row r="259" spans="1:7" ht="12.75" hidden="1">
      <c r="A259" s="39"/>
      <c r="B259" s="38" t="s">
        <v>3</v>
      </c>
      <c r="E259" s="65">
        <f>E258+E257</f>
        <v>471.96952</v>
      </c>
      <c r="F259" s="39"/>
      <c r="G259" s="39"/>
    </row>
    <row r="260" spans="1:7" ht="12.75" hidden="1">
      <c r="A260" s="39"/>
      <c r="B260" s="39" t="s">
        <v>42</v>
      </c>
      <c r="E260" s="50">
        <v>477.18</v>
      </c>
      <c r="F260" s="39"/>
      <c r="G260" s="39"/>
    </row>
    <row r="261" spans="1:7" ht="12.75" hidden="1">
      <c r="A261" s="39"/>
      <c r="B261" s="38" t="s">
        <v>43</v>
      </c>
      <c r="E261" s="65">
        <f>E260-E259</f>
        <v>5.210480000000018</v>
      </c>
      <c r="F261" s="39"/>
      <c r="G261" s="39"/>
    </row>
    <row r="262" spans="1:7" ht="12.75" hidden="1">
      <c r="A262" s="39"/>
      <c r="B262" s="39"/>
      <c r="C262" s="50"/>
      <c r="D262" s="39"/>
      <c r="E262" s="39"/>
      <c r="F262" s="39"/>
      <c r="G262" s="39"/>
    </row>
    <row r="263" spans="1:14" ht="12.75" hidden="1">
      <c r="A263" s="39"/>
      <c r="B263" s="39"/>
      <c r="C263" s="50"/>
      <c r="D263" s="39"/>
      <c r="E263" s="39"/>
      <c r="F263" s="39"/>
      <c r="G263" s="39"/>
      <c r="N263" s="4">
        <f>M262/100000</f>
        <v>0</v>
      </c>
    </row>
    <row r="264" spans="1:7" ht="8.25" customHeight="1">
      <c r="A264" s="39"/>
      <c r="B264" s="39"/>
      <c r="C264" s="50"/>
      <c r="D264" s="39"/>
      <c r="E264" s="39"/>
      <c r="F264" s="39"/>
      <c r="G264" s="39"/>
    </row>
    <row r="265" spans="1:7" ht="15">
      <c r="A265" s="350" t="s">
        <v>156</v>
      </c>
      <c r="B265" s="37"/>
      <c r="C265" s="50"/>
      <c r="D265" s="39"/>
      <c r="E265" s="39"/>
      <c r="F265" s="39"/>
      <c r="G265" s="39"/>
    </row>
    <row r="266" spans="1:7" ht="6" customHeight="1" thickBot="1">
      <c r="A266" s="39"/>
      <c r="B266" s="39"/>
      <c r="C266" s="50"/>
      <c r="D266" s="39"/>
      <c r="E266" s="39"/>
      <c r="F266" s="39"/>
      <c r="G266" s="39"/>
    </row>
    <row r="267" spans="1:7" ht="12.75">
      <c r="A267" s="609" t="s">
        <v>276</v>
      </c>
      <c r="B267" s="610"/>
      <c r="C267" s="610"/>
      <c r="D267" s="611"/>
      <c r="E267" s="39"/>
      <c r="F267" s="39"/>
      <c r="G267" s="39"/>
    </row>
    <row r="268" spans="1:6" ht="25.5">
      <c r="A268" s="351" t="s">
        <v>87</v>
      </c>
      <c r="B268" s="352" t="s">
        <v>8</v>
      </c>
      <c r="C268" s="352" t="s">
        <v>9</v>
      </c>
      <c r="D268" s="353" t="s">
        <v>59</v>
      </c>
      <c r="F268" s="66"/>
    </row>
    <row r="269" spans="1:6" ht="30.75" customHeight="1">
      <c r="A269" s="615" t="s">
        <v>204</v>
      </c>
      <c r="B269" s="483" t="s">
        <v>298</v>
      </c>
      <c r="C269" s="354" t="s">
        <v>324</v>
      </c>
      <c r="D269" s="355">
        <v>59.66</v>
      </c>
      <c r="F269" s="66"/>
    </row>
    <row r="270" spans="1:6" ht="15.75" customHeight="1">
      <c r="A270" s="616"/>
      <c r="B270" s="483" t="s">
        <v>139</v>
      </c>
      <c r="C270" s="346" t="s">
        <v>323</v>
      </c>
      <c r="D270" s="346">
        <v>285.08</v>
      </c>
      <c r="E270" s="148"/>
      <c r="F270" s="66"/>
    </row>
    <row r="271" spans="1:6" ht="25.5">
      <c r="A271" s="616"/>
      <c r="B271" s="484" t="s">
        <v>118</v>
      </c>
      <c r="C271" s="354" t="s">
        <v>325</v>
      </c>
      <c r="D271" s="346">
        <v>380.74</v>
      </c>
      <c r="E271" s="149"/>
      <c r="F271" s="72"/>
    </row>
    <row r="272" spans="1:6" ht="12.75">
      <c r="A272" s="616"/>
      <c r="B272" s="536" t="s">
        <v>7</v>
      </c>
      <c r="C272" s="346" t="s">
        <v>326</v>
      </c>
      <c r="D272" s="346">
        <v>483.65</v>
      </c>
      <c r="E272" s="149"/>
      <c r="F272" s="72"/>
    </row>
    <row r="273" spans="1:6" ht="12.75">
      <c r="A273" s="617"/>
      <c r="B273" s="592" t="s">
        <v>19</v>
      </c>
      <c r="C273" s="593"/>
      <c r="D273" s="357">
        <f>SUM(D269:D272)</f>
        <v>1209.13</v>
      </c>
      <c r="F273" s="19"/>
    </row>
    <row r="274" spans="1:6" ht="14.25" customHeight="1" hidden="1">
      <c r="A274" s="615" t="s">
        <v>18</v>
      </c>
      <c r="B274" s="67" t="s">
        <v>138</v>
      </c>
      <c r="C274" s="68"/>
      <c r="D274" s="75">
        <v>0</v>
      </c>
      <c r="F274" s="19"/>
    </row>
    <row r="275" spans="1:6" ht="14.25" customHeight="1" hidden="1">
      <c r="A275" s="616"/>
      <c r="B275" s="67" t="s">
        <v>139</v>
      </c>
      <c r="C275" s="69"/>
      <c r="D275" s="70">
        <f>111.81+313.11-D274</f>
        <v>424.92</v>
      </c>
      <c r="F275" s="19"/>
    </row>
    <row r="276" spans="1:6" ht="12.75" hidden="1">
      <c r="A276" s="616"/>
      <c r="B276" s="76" t="s">
        <v>6</v>
      </c>
      <c r="C276" s="71"/>
      <c r="D276" s="70"/>
      <c r="F276" s="19"/>
    </row>
    <row r="277" spans="1:6" ht="12.75" hidden="1">
      <c r="A277" s="616"/>
      <c r="B277" s="73" t="s">
        <v>7</v>
      </c>
      <c r="C277" s="59"/>
      <c r="D277" s="77"/>
      <c r="F277" s="19"/>
    </row>
    <row r="278" spans="1:6" ht="12.75" hidden="1">
      <c r="A278" s="617"/>
      <c r="B278" s="592" t="s">
        <v>19</v>
      </c>
      <c r="C278" s="593"/>
      <c r="D278" s="74">
        <f>D277+D276+D275+D274</f>
        <v>424.92</v>
      </c>
      <c r="F278" s="19"/>
    </row>
    <row r="279" spans="1:4" ht="13.5" hidden="1" thickBot="1">
      <c r="A279" s="612" t="s">
        <v>20</v>
      </c>
      <c r="B279" s="613"/>
      <c r="C279" s="614"/>
      <c r="D279" s="78">
        <f>D273+D278</f>
        <v>1634.0500000000002</v>
      </c>
    </row>
    <row r="280" spans="1:7" ht="8.25" customHeight="1">
      <c r="A280" s="39"/>
      <c r="B280" s="39"/>
      <c r="C280" s="50"/>
      <c r="D280" s="39"/>
      <c r="E280" s="39"/>
      <c r="F280" s="39"/>
      <c r="G280" s="39"/>
    </row>
    <row r="281" spans="1:7" ht="8.25" customHeight="1">
      <c r="A281" s="39"/>
      <c r="B281" s="39"/>
      <c r="C281" s="50"/>
      <c r="D281" s="39"/>
      <c r="E281" s="39"/>
      <c r="F281" s="39"/>
      <c r="G281" s="39"/>
    </row>
    <row r="282" spans="1:7" ht="18" customHeight="1">
      <c r="A282" s="39"/>
      <c r="B282" s="39"/>
      <c r="C282" s="50"/>
      <c r="D282" s="39"/>
      <c r="E282" s="39"/>
      <c r="F282" s="39"/>
      <c r="G282" s="39"/>
    </row>
    <row r="283" spans="1:6" ht="15">
      <c r="A283" s="358" t="s">
        <v>211</v>
      </c>
      <c r="B283" s="359"/>
      <c r="C283" s="359"/>
      <c r="D283" s="359"/>
      <c r="E283" s="360"/>
      <c r="F283" s="49"/>
    </row>
    <row r="284" spans="1:6" ht="9" customHeight="1">
      <c r="A284" s="49"/>
      <c r="B284" s="49"/>
      <c r="C284" s="49"/>
      <c r="D284" s="49"/>
      <c r="E284" s="294"/>
      <c r="F284" s="49"/>
    </row>
    <row r="285" spans="1:7" ht="19.5" customHeight="1">
      <c r="A285" s="587" t="s">
        <v>314</v>
      </c>
      <c r="B285" s="587"/>
      <c r="C285" s="587"/>
      <c r="D285" s="587"/>
      <c r="E285" s="587"/>
      <c r="F285" s="587"/>
      <c r="G285" s="587"/>
    </row>
    <row r="286" spans="1:7" ht="6.75" customHeight="1">
      <c r="A286" s="13"/>
      <c r="B286" s="39"/>
      <c r="C286" s="50"/>
      <c r="D286" s="39"/>
      <c r="E286" s="39"/>
      <c r="F286" s="39"/>
      <c r="G286" s="39"/>
    </row>
    <row r="287" spans="1:5" ht="13.5" thickBot="1">
      <c r="A287" s="39"/>
      <c r="B287" s="39"/>
      <c r="C287" s="39"/>
      <c r="D287" s="39"/>
      <c r="E287" s="39" t="s">
        <v>10</v>
      </c>
    </row>
    <row r="288" spans="1:16" ht="39.75" customHeight="1">
      <c r="A288" s="361" t="s">
        <v>26</v>
      </c>
      <c r="B288" s="362" t="s">
        <v>27</v>
      </c>
      <c r="C288" s="272" t="s">
        <v>277</v>
      </c>
      <c r="D288" s="272" t="s">
        <v>315</v>
      </c>
      <c r="E288" s="141" t="s">
        <v>278</v>
      </c>
      <c r="F288" s="300"/>
      <c r="G288" s="301"/>
      <c r="I288" s="98" t="s">
        <v>200</v>
      </c>
      <c r="J288" s="99" t="s">
        <v>214</v>
      </c>
      <c r="K288" s="100" t="s">
        <v>3</v>
      </c>
      <c r="L288" s="500"/>
      <c r="M288" s="98" t="s">
        <v>200</v>
      </c>
      <c r="N288" s="99" t="s">
        <v>214</v>
      </c>
      <c r="O288" s="100" t="s">
        <v>3</v>
      </c>
      <c r="P288" s="239"/>
    </row>
    <row r="289" spans="1:16" s="26" customFormat="1" ht="14.25" customHeight="1">
      <c r="A289" s="363">
        <v>1</v>
      </c>
      <c r="B289" s="364">
        <v>2</v>
      </c>
      <c r="C289" s="304">
        <v>3</v>
      </c>
      <c r="D289" s="304">
        <v>4</v>
      </c>
      <c r="E289" s="365">
        <v>5</v>
      </c>
      <c r="F289" s="306"/>
      <c r="G289" s="307"/>
      <c r="I289" s="588" t="s">
        <v>223</v>
      </c>
      <c r="J289" s="589"/>
      <c r="K289" s="590"/>
      <c r="L289" s="465"/>
      <c r="M289" s="588" t="s">
        <v>224</v>
      </c>
      <c r="N289" s="589"/>
      <c r="O289" s="590"/>
      <c r="P289" s="499"/>
    </row>
    <row r="290" spans="1:16" ht="12.75">
      <c r="A290" s="222">
        <v>1</v>
      </c>
      <c r="B290" s="73" t="s">
        <v>131</v>
      </c>
      <c r="C290" s="109">
        <v>281.2480376161935</v>
      </c>
      <c r="D290" s="93">
        <v>14.007065633639213</v>
      </c>
      <c r="E290" s="366">
        <f aca="true" t="shared" si="41" ref="E290:E298">D290/C290</f>
        <v>0.049803247526135706</v>
      </c>
      <c r="F290" s="79"/>
      <c r="G290" s="367"/>
      <c r="I290" s="101">
        <v>160.79253977310407</v>
      </c>
      <c r="J290" s="93">
        <v>120.45549784308943</v>
      </c>
      <c r="K290" s="106">
        <f aca="true" t="shared" si="42" ref="K290:K297">SUM(I290:J290)</f>
        <v>281.2480376161935</v>
      </c>
      <c r="L290" s="501"/>
      <c r="M290" s="101">
        <v>2.1290988730485783</v>
      </c>
      <c r="N290" s="93">
        <v>11.877966760590635</v>
      </c>
      <c r="O290" s="106">
        <f aca="true" t="shared" si="43" ref="O290:O297">SUM(M290:N290)</f>
        <v>14.007065633639213</v>
      </c>
      <c r="P290" s="504"/>
    </row>
    <row r="291" spans="1:16" ht="12.75">
      <c r="A291" s="222">
        <v>2</v>
      </c>
      <c r="B291" s="73" t="s">
        <v>132</v>
      </c>
      <c r="C291" s="109">
        <v>144.5893536945459</v>
      </c>
      <c r="D291" s="93">
        <v>7.442100712162603</v>
      </c>
      <c r="E291" s="366">
        <f t="shared" si="41"/>
        <v>0.051470599473627275</v>
      </c>
      <c r="F291" s="79"/>
      <c r="G291" s="367"/>
      <c r="I291" s="101">
        <v>79.83925264731926</v>
      </c>
      <c r="J291" s="93">
        <v>64.75010104722665</v>
      </c>
      <c r="K291" s="106">
        <f t="shared" si="42"/>
        <v>144.5893536945459</v>
      </c>
      <c r="L291" s="501"/>
      <c r="M291" s="101">
        <v>1.0571738158767603</v>
      </c>
      <c r="N291" s="93">
        <v>6.384926896285842</v>
      </c>
      <c r="O291" s="106">
        <f t="shared" si="43"/>
        <v>7.442100712162603</v>
      </c>
      <c r="P291" s="504"/>
    </row>
    <row r="292" spans="1:16" ht="12.75">
      <c r="A292" s="222">
        <v>3</v>
      </c>
      <c r="B292" s="73" t="s">
        <v>133</v>
      </c>
      <c r="C292" s="109">
        <v>123.52482502364894</v>
      </c>
      <c r="D292" s="93">
        <v>5.745228211590063</v>
      </c>
      <c r="E292" s="366">
        <f t="shared" si="41"/>
        <v>0.0465107172626242</v>
      </c>
      <c r="F292" s="79"/>
      <c r="G292" s="367"/>
      <c r="I292" s="101">
        <v>75.38469365461958</v>
      </c>
      <c r="J292" s="93">
        <v>48.14013136902936</v>
      </c>
      <c r="K292" s="106">
        <f t="shared" si="42"/>
        <v>123.52482502364894</v>
      </c>
      <c r="L292" s="501"/>
      <c r="M292" s="101">
        <v>0.9981897576320896</v>
      </c>
      <c r="N292" s="93">
        <v>4.747038453957973</v>
      </c>
      <c r="O292" s="106">
        <f t="shared" si="43"/>
        <v>5.745228211590063</v>
      </c>
      <c r="P292" s="504"/>
    </row>
    <row r="293" spans="1:16" ht="12.75">
      <c r="A293" s="222">
        <v>4</v>
      </c>
      <c r="B293" s="73" t="s">
        <v>134</v>
      </c>
      <c r="C293" s="109">
        <v>275.16550396258225</v>
      </c>
      <c r="D293" s="93">
        <v>11.394848036473752</v>
      </c>
      <c r="E293" s="366">
        <f t="shared" si="41"/>
        <v>0.04141088861932073</v>
      </c>
      <c r="F293" s="79"/>
      <c r="G293" s="367" t="s">
        <v>105</v>
      </c>
      <c r="I293" s="101">
        <v>184.36623081511885</v>
      </c>
      <c r="J293" s="93">
        <v>90.7992731474634</v>
      </c>
      <c r="K293" s="106">
        <f t="shared" si="42"/>
        <v>275.16550396258225</v>
      </c>
      <c r="L293" s="501"/>
      <c r="M293" s="101">
        <v>2.441244692139275</v>
      </c>
      <c r="N293" s="93">
        <v>8.953603344334477</v>
      </c>
      <c r="O293" s="106">
        <f t="shared" si="43"/>
        <v>11.394848036473752</v>
      </c>
      <c r="P293" s="504"/>
    </row>
    <row r="294" spans="1:16" ht="12.75">
      <c r="A294" s="222">
        <v>5</v>
      </c>
      <c r="B294" s="73" t="s">
        <v>135</v>
      </c>
      <c r="C294" s="109">
        <v>287.9045803932954</v>
      </c>
      <c r="D294" s="93">
        <v>13.040336012686414</v>
      </c>
      <c r="E294" s="366">
        <f t="shared" si="41"/>
        <v>0.04529395119338675</v>
      </c>
      <c r="F294" s="79"/>
      <c r="G294" s="367"/>
      <c r="I294" s="101">
        <v>179.80590508797567</v>
      </c>
      <c r="J294" s="93">
        <v>108.09867530531974</v>
      </c>
      <c r="K294" s="106">
        <f t="shared" si="42"/>
        <v>287.9045803932954</v>
      </c>
      <c r="L294" s="501"/>
      <c r="M294" s="101">
        <v>2.380860147059659</v>
      </c>
      <c r="N294" s="93">
        <v>10.659475865626755</v>
      </c>
      <c r="O294" s="106">
        <f t="shared" si="43"/>
        <v>13.040336012686414</v>
      </c>
      <c r="P294" s="504"/>
    </row>
    <row r="295" spans="1:16" ht="12.75">
      <c r="A295" s="222">
        <v>6</v>
      </c>
      <c r="B295" s="73" t="s">
        <v>136</v>
      </c>
      <c r="C295" s="109">
        <v>162.7476295775433</v>
      </c>
      <c r="D295" s="93">
        <v>6.756058259880396</v>
      </c>
      <c r="E295" s="366">
        <f t="shared" si="41"/>
        <v>0.04151248333028028</v>
      </c>
      <c r="F295" s="79"/>
      <c r="G295" s="367"/>
      <c r="I295" s="101">
        <v>108.85038823552088</v>
      </c>
      <c r="J295" s="93">
        <v>53.89724134202243</v>
      </c>
      <c r="K295" s="106">
        <f t="shared" si="42"/>
        <v>162.7476295775433</v>
      </c>
      <c r="L295" s="501"/>
      <c r="M295" s="101">
        <v>1.4413183550068742</v>
      </c>
      <c r="N295" s="93">
        <v>5.314739904873521</v>
      </c>
      <c r="O295" s="106">
        <f t="shared" si="43"/>
        <v>6.756058259880396</v>
      </c>
      <c r="P295" s="504"/>
    </row>
    <row r="296" spans="1:16" ht="12.75">
      <c r="A296" s="222">
        <v>7</v>
      </c>
      <c r="B296" s="73" t="s">
        <v>137</v>
      </c>
      <c r="C296" s="109">
        <v>72.4750666997763</v>
      </c>
      <c r="D296" s="93">
        <v>3.887739189905773</v>
      </c>
      <c r="E296" s="366">
        <f t="shared" si="41"/>
        <v>0.05364243686743337</v>
      </c>
      <c r="F296" s="79"/>
      <c r="G296" s="367"/>
      <c r="I296" s="101">
        <v>38.175392798327906</v>
      </c>
      <c r="J296" s="93">
        <v>34.29967390144841</v>
      </c>
      <c r="K296" s="106">
        <f t="shared" si="42"/>
        <v>72.4750666997763</v>
      </c>
      <c r="L296" s="501"/>
      <c r="M296" s="101">
        <v>0.5054910252664745</v>
      </c>
      <c r="N296" s="93">
        <v>3.382248164639299</v>
      </c>
      <c r="O296" s="106">
        <f t="shared" si="43"/>
        <v>3.887739189905773</v>
      </c>
      <c r="P296" s="504"/>
    </row>
    <row r="297" spans="1:16" ht="13.5" thickBot="1">
      <c r="A297" s="222">
        <v>8</v>
      </c>
      <c r="B297" s="73" t="s">
        <v>300</v>
      </c>
      <c r="C297" s="109">
        <v>119.43670383241428</v>
      </c>
      <c r="D297" s="93">
        <v>5.59834816540786</v>
      </c>
      <c r="E297" s="366">
        <f t="shared" si="41"/>
        <v>0.04687292922335745</v>
      </c>
      <c r="F297" s="79"/>
      <c r="G297" s="367"/>
      <c r="I297" s="102">
        <v>72.38302946801383</v>
      </c>
      <c r="J297" s="104">
        <v>47.05367436440045</v>
      </c>
      <c r="K297" s="107">
        <f t="shared" si="42"/>
        <v>119.43670383241428</v>
      </c>
      <c r="L297" s="502"/>
      <c r="M297" s="102">
        <v>0.9584438848074501</v>
      </c>
      <c r="N297" s="104">
        <v>4.63990428060041</v>
      </c>
      <c r="O297" s="107">
        <f t="shared" si="43"/>
        <v>5.59834816540786</v>
      </c>
      <c r="P297" s="504"/>
    </row>
    <row r="298" spans="1:16" ht="15.75" thickBot="1">
      <c r="A298" s="349"/>
      <c r="B298" s="246" t="s">
        <v>56</v>
      </c>
      <c r="C298" s="259">
        <f>SUM(C290:C297)</f>
        <v>1467.0917008000001</v>
      </c>
      <c r="D298" s="259">
        <f>SUM(D290:D297)</f>
        <v>67.87172422174608</v>
      </c>
      <c r="E298" s="368">
        <f t="shared" si="41"/>
        <v>0.04626276884037709</v>
      </c>
      <c r="F298" s="79"/>
      <c r="G298" s="367"/>
      <c r="H298" s="133"/>
      <c r="I298" s="103">
        <f>SUM(I290:I297)</f>
        <v>899.5974324800002</v>
      </c>
      <c r="J298" s="103">
        <f>SUM(J290:J297)</f>
        <v>567.4942683199998</v>
      </c>
      <c r="K298" s="103">
        <f>SUM(K290:K297)</f>
        <v>1467.0917008000001</v>
      </c>
      <c r="L298" s="503"/>
      <c r="M298" s="103">
        <f>SUM(M290:M297)</f>
        <v>11.91182055083716</v>
      </c>
      <c r="N298" s="103">
        <f>SUM(N290:N297)</f>
        <v>55.959903670908915</v>
      </c>
      <c r="O298" s="103">
        <f>SUM(O290:O297)</f>
        <v>67.87172422174608</v>
      </c>
      <c r="P298" s="504"/>
    </row>
    <row r="299" spans="1:7" ht="12.75">
      <c r="A299" s="369"/>
      <c r="B299" s="55"/>
      <c r="C299" s="370"/>
      <c r="D299" s="370"/>
      <c r="E299" s="312"/>
      <c r="F299" s="56"/>
      <c r="G299" s="79"/>
    </row>
    <row r="300" spans="1:7" ht="15">
      <c r="A300" s="587" t="s">
        <v>328</v>
      </c>
      <c r="B300" s="587"/>
      <c r="C300" s="587"/>
      <c r="D300" s="587"/>
      <c r="E300" s="587"/>
      <c r="F300" s="587"/>
      <c r="G300" s="587"/>
    </row>
    <row r="301" spans="1:6" ht="15" thickBot="1">
      <c r="A301" s="37"/>
      <c r="B301" s="37"/>
      <c r="C301" s="37"/>
      <c r="D301" s="37"/>
      <c r="E301" s="37" t="s">
        <v>10</v>
      </c>
      <c r="F301" s="183"/>
    </row>
    <row r="302" spans="1:12" ht="51" customHeight="1">
      <c r="A302" s="361" t="s">
        <v>26</v>
      </c>
      <c r="B302" s="362" t="s">
        <v>27</v>
      </c>
      <c r="C302" s="272" t="str">
        <f>C288</f>
        <v>Allocation for 2019-20                                     </v>
      </c>
      <c r="D302" s="272" t="s">
        <v>250</v>
      </c>
      <c r="E302" s="141" t="s">
        <v>279</v>
      </c>
      <c r="F302" s="300"/>
      <c r="G302" s="301"/>
      <c r="I302" s="98" t="s">
        <v>200</v>
      </c>
      <c r="J302" s="99" t="s">
        <v>214</v>
      </c>
      <c r="K302" s="100" t="s">
        <v>3</v>
      </c>
      <c r="L302" s="239"/>
    </row>
    <row r="303" spans="1:12" s="26" customFormat="1" ht="12" customHeight="1">
      <c r="A303" s="363">
        <v>1</v>
      </c>
      <c r="B303" s="364">
        <v>2</v>
      </c>
      <c r="C303" s="371">
        <v>3</v>
      </c>
      <c r="D303" s="371">
        <v>4</v>
      </c>
      <c r="E303" s="365">
        <v>5</v>
      </c>
      <c r="F303" s="306"/>
      <c r="G303" s="307"/>
      <c r="I303" s="588" t="s">
        <v>225</v>
      </c>
      <c r="J303" s="589"/>
      <c r="K303" s="590"/>
      <c r="L303" s="499"/>
    </row>
    <row r="304" spans="1:12" ht="12.75" customHeight="1">
      <c r="A304" s="222">
        <v>1</v>
      </c>
      <c r="B304" s="73" t="s">
        <v>131</v>
      </c>
      <c r="C304" s="109">
        <f>C290</f>
        <v>281.2480376161935</v>
      </c>
      <c r="D304" s="93">
        <v>65.30027816136399</v>
      </c>
      <c r="E304" s="150">
        <f aca="true" t="shared" si="44" ref="E304:E312">D304/C304</f>
        <v>0.23218038680318306</v>
      </c>
      <c r="F304" s="79"/>
      <c r="G304" s="367"/>
      <c r="I304" s="101">
        <v>73.43065473714185</v>
      </c>
      <c r="J304" s="93">
        <v>65.30027816136399</v>
      </c>
      <c r="K304" s="106">
        <f aca="true" t="shared" si="45" ref="K304:K311">SUM(I304:J304)</f>
        <v>138.73093289850584</v>
      </c>
      <c r="L304" s="504"/>
    </row>
    <row r="305" spans="1:12" ht="12.75" customHeight="1">
      <c r="A305" s="222">
        <v>2</v>
      </c>
      <c r="B305" s="73" t="s">
        <v>132</v>
      </c>
      <c r="C305" s="109">
        <f aca="true" t="shared" si="46" ref="C305:C311">C291</f>
        <v>144.5893536945459</v>
      </c>
      <c r="D305" s="93">
        <v>35.1017569564833</v>
      </c>
      <c r="E305" s="150">
        <f t="shared" si="44"/>
        <v>0.24276861372959704</v>
      </c>
      <c r="F305" s="79"/>
      <c r="G305" s="367"/>
      <c r="I305" s="101">
        <v>36.460949020953215</v>
      </c>
      <c r="J305" s="93">
        <v>35.1017569564833</v>
      </c>
      <c r="K305" s="106">
        <f t="shared" si="45"/>
        <v>71.56270597743651</v>
      </c>
      <c r="L305" s="504"/>
    </row>
    <row r="306" spans="1:22" ht="12.75" customHeight="1">
      <c r="A306" s="222">
        <v>3</v>
      </c>
      <c r="B306" s="73" t="s">
        <v>133</v>
      </c>
      <c r="C306" s="109">
        <f t="shared" si="46"/>
        <v>123.52482502364894</v>
      </c>
      <c r="D306" s="93">
        <v>26.097305854957018</v>
      </c>
      <c r="E306" s="150">
        <f t="shared" si="44"/>
        <v>0.21127174922094133</v>
      </c>
      <c r="F306" s="79"/>
      <c r="G306" s="367"/>
      <c r="I306" s="101">
        <v>34.42664330091958</v>
      </c>
      <c r="J306" s="93">
        <v>26.097305854957018</v>
      </c>
      <c r="K306" s="106">
        <f t="shared" si="45"/>
        <v>60.52394915587659</v>
      </c>
      <c r="L306" s="504"/>
      <c r="V306" s="4" t="e">
        <f>#REF!/100000</f>
        <v>#REF!</v>
      </c>
    </row>
    <row r="307" spans="1:22" ht="12.75" customHeight="1">
      <c r="A307" s="222">
        <v>4</v>
      </c>
      <c r="B307" s="73" t="s">
        <v>134</v>
      </c>
      <c r="C307" s="109">
        <f t="shared" si="46"/>
        <v>275.16550396258225</v>
      </c>
      <c r="D307" s="93">
        <v>49.22330569836409</v>
      </c>
      <c r="E307" s="150">
        <f t="shared" si="44"/>
        <v>0.17888617937028042</v>
      </c>
      <c r="F307" s="79"/>
      <c r="G307" s="79"/>
      <c r="H307" s="79"/>
      <c r="I307" s="101">
        <v>84.1962758923827</v>
      </c>
      <c r="J307" s="93">
        <v>49.22330569836409</v>
      </c>
      <c r="K307" s="106">
        <f t="shared" si="45"/>
        <v>133.4195815907468</v>
      </c>
      <c r="L307" s="504"/>
      <c r="V307" s="4" t="e">
        <f>#REF!/100000</f>
        <v>#REF!</v>
      </c>
    </row>
    <row r="308" spans="1:22" ht="12.75" customHeight="1">
      <c r="A308" s="222">
        <v>5</v>
      </c>
      <c r="B308" s="73" t="s">
        <v>135</v>
      </c>
      <c r="C308" s="109">
        <f t="shared" si="46"/>
        <v>287.9045803932954</v>
      </c>
      <c r="D308" s="93">
        <v>58.60150588981451</v>
      </c>
      <c r="E308" s="150">
        <f t="shared" si="44"/>
        <v>0.20354488910791638</v>
      </c>
      <c r="F308" s="79"/>
      <c r="G308" s="367"/>
      <c r="I308" s="101">
        <v>82.11366867421643</v>
      </c>
      <c r="J308" s="93">
        <v>58.60150588981451</v>
      </c>
      <c r="K308" s="106">
        <f t="shared" si="45"/>
        <v>140.71517456403095</v>
      </c>
      <c r="L308" s="504"/>
      <c r="V308" s="4" t="e">
        <f>#REF!/100000</f>
        <v>#REF!</v>
      </c>
    </row>
    <row r="309" spans="1:22" ht="12.75" customHeight="1">
      <c r="A309" s="222">
        <v>6</v>
      </c>
      <c r="B309" s="73" t="s">
        <v>136</v>
      </c>
      <c r="C309" s="109">
        <f t="shared" si="46"/>
        <v>162.7476295775433</v>
      </c>
      <c r="D309" s="93">
        <v>29.218299826786577</v>
      </c>
      <c r="E309" s="150">
        <f t="shared" si="44"/>
        <v>0.17953133881354089</v>
      </c>
      <c r="F309" s="79"/>
      <c r="G309" s="367"/>
      <c r="I309" s="101">
        <v>49.7097395675528</v>
      </c>
      <c r="J309" s="93">
        <v>29.218299826786577</v>
      </c>
      <c r="K309" s="106">
        <f t="shared" si="45"/>
        <v>78.92803939433938</v>
      </c>
      <c r="L309" s="504"/>
      <c r="V309" s="4" t="e">
        <f>#REF!/100000</f>
        <v>#REF!</v>
      </c>
    </row>
    <row r="310" spans="1:22" ht="12.75" customHeight="1">
      <c r="A310" s="222">
        <v>7</v>
      </c>
      <c r="B310" s="73" t="s">
        <v>137</v>
      </c>
      <c r="C310" s="109">
        <f t="shared" si="46"/>
        <v>72.4750666997763</v>
      </c>
      <c r="D310" s="93">
        <v>18.594238425931287</v>
      </c>
      <c r="E310" s="150">
        <f t="shared" si="44"/>
        <v>0.256560487249454</v>
      </c>
      <c r="F310" s="79"/>
      <c r="G310" s="367"/>
      <c r="I310" s="101">
        <v>17.43391883718282</v>
      </c>
      <c r="J310" s="93">
        <v>18.594238425931287</v>
      </c>
      <c r="K310" s="106">
        <f t="shared" si="45"/>
        <v>36.02815726311411</v>
      </c>
      <c r="L310" s="504"/>
      <c r="V310" s="4" t="e">
        <f>#REF!/100000</f>
        <v>#REF!</v>
      </c>
    </row>
    <row r="311" spans="1:22" ht="12.75" customHeight="1" thickBot="1">
      <c r="A311" s="222">
        <v>8</v>
      </c>
      <c r="B311" s="73" t="s">
        <v>300</v>
      </c>
      <c r="C311" s="109">
        <f t="shared" si="46"/>
        <v>119.43670383241428</v>
      </c>
      <c r="D311" s="93">
        <v>25.508325311245784</v>
      </c>
      <c r="E311" s="150">
        <f t="shared" si="44"/>
        <v>0.21357191292751504</v>
      </c>
      <c r="F311" s="79"/>
      <c r="G311" s="367"/>
      <c r="H311" s="4" t="s">
        <v>105</v>
      </c>
      <c r="I311" s="102">
        <v>33.05584483704483</v>
      </c>
      <c r="J311" s="104">
        <v>25.508325311245784</v>
      </c>
      <c r="K311" s="107">
        <f t="shared" si="45"/>
        <v>58.564170148290614</v>
      </c>
      <c r="L311" s="504"/>
      <c r="V311" s="4" t="e">
        <f>#REF!/100000</f>
        <v>#REF!</v>
      </c>
    </row>
    <row r="312" spans="1:22" ht="12.75" customHeight="1" thickBot="1">
      <c r="A312" s="349"/>
      <c r="B312" s="246" t="s">
        <v>56</v>
      </c>
      <c r="C312" s="259">
        <f>SUM(C304:C311)</f>
        <v>1467.0917008000001</v>
      </c>
      <c r="D312" s="259">
        <f>SUM(D304:D311)</f>
        <v>307.64501612494655</v>
      </c>
      <c r="E312" s="151">
        <f t="shared" si="44"/>
        <v>0.20969719613108626</v>
      </c>
      <c r="F312" s="79"/>
      <c r="G312" s="367"/>
      <c r="H312" s="34"/>
      <c r="I312" s="103">
        <f>SUM(I304:I311)</f>
        <v>410.82769486739426</v>
      </c>
      <c r="J312" s="103">
        <f>SUM(J304:J311)</f>
        <v>307.64501612494655</v>
      </c>
      <c r="K312" s="103">
        <f>SUM(K304:K311)</f>
        <v>718.4727109923407</v>
      </c>
      <c r="L312" s="504"/>
      <c r="V312" s="4" t="e">
        <f>#REF!/100000</f>
        <v>#REF!</v>
      </c>
    </row>
    <row r="313" spans="1:22" ht="12.75" customHeight="1">
      <c r="A313" s="53"/>
      <c r="B313" s="44"/>
      <c r="C313" s="52"/>
      <c r="D313" s="52"/>
      <c r="E313" s="57"/>
      <c r="F313" s="79"/>
      <c r="G313" s="367"/>
      <c r="V313" s="4" t="e">
        <f>#REF!/100000</f>
        <v>#REF!</v>
      </c>
    </row>
    <row r="314" spans="1:22" ht="21" customHeight="1">
      <c r="A314" s="350" t="s">
        <v>234</v>
      </c>
      <c r="B314" s="37"/>
      <c r="C314" s="372"/>
      <c r="D314" s="372"/>
      <c r="E314" s="5"/>
      <c r="F314" s="39"/>
      <c r="G314" s="39"/>
      <c r="V314" s="4" t="e">
        <f>#REF!/100000</f>
        <v>#REF!</v>
      </c>
    </row>
    <row r="315" spans="1:22" ht="12.75" hidden="1">
      <c r="A315" s="39"/>
      <c r="B315" s="39"/>
      <c r="C315" s="39"/>
      <c r="D315" s="39"/>
      <c r="E315" s="39"/>
      <c r="F315" s="39"/>
      <c r="G315" s="39"/>
      <c r="I315" s="4">
        <v>302.5322500000001</v>
      </c>
      <c r="J315" s="4">
        <v>68.40112000000003</v>
      </c>
      <c r="K315" s="4">
        <f>SUM(I315:J315)</f>
        <v>370.93337000000014</v>
      </c>
      <c r="V315" s="4" t="e">
        <f>#REF!/100000</f>
        <v>#REF!</v>
      </c>
    </row>
    <row r="316" spans="1:4" ht="12.75" hidden="1">
      <c r="A316" s="215" t="s">
        <v>33</v>
      </c>
      <c r="B316" s="215" t="s">
        <v>47</v>
      </c>
      <c r="C316" s="215" t="s">
        <v>34</v>
      </c>
      <c r="D316" s="152"/>
    </row>
    <row r="317" spans="1:4" ht="12.75" hidden="1">
      <c r="A317" s="373">
        <v>1</v>
      </c>
      <c r="B317" s="374">
        <f>B318/A318</f>
        <v>1.1043019786255908</v>
      </c>
      <c r="C317" s="374">
        <f>C318/A318</f>
        <v>0.85</v>
      </c>
      <c r="D317" s="152"/>
    </row>
    <row r="318" spans="1:4" ht="12.75" hidden="1">
      <c r="A318" s="375">
        <v>47718.17</v>
      </c>
      <c r="B318" s="144">
        <v>52695.2695473923</v>
      </c>
      <c r="C318" s="144">
        <f>A318*85/100</f>
        <v>40560.4445</v>
      </c>
      <c r="D318" s="375"/>
    </row>
    <row r="319" ht="12.75" hidden="1"/>
    <row r="320" ht="12.75" hidden="1"/>
    <row r="321" ht="8.25" customHeight="1" thickBot="1"/>
    <row r="322" spans="1:6" ht="25.5">
      <c r="A322" s="271" t="s">
        <v>33</v>
      </c>
      <c r="B322" s="272" t="s">
        <v>298</v>
      </c>
      <c r="C322" s="272" t="s">
        <v>226</v>
      </c>
      <c r="D322" s="272" t="s">
        <v>35</v>
      </c>
      <c r="E322" s="272" t="s">
        <v>36</v>
      </c>
      <c r="F322" s="141" t="s">
        <v>55</v>
      </c>
    </row>
    <row r="323" spans="1:6" ht="13.5" thickBot="1">
      <c r="A323" s="376">
        <f>C312</f>
        <v>1467.0917008000001</v>
      </c>
      <c r="B323" s="316">
        <f>D337</f>
        <v>67.87172422174608</v>
      </c>
      <c r="C323" s="292">
        <f>E337</f>
        <v>1357.5106634065949</v>
      </c>
      <c r="D323" s="316">
        <f>B323+C323</f>
        <v>1425.382387628341</v>
      </c>
      <c r="E323" s="317">
        <f>D323/A323</f>
        <v>0.9715700708081743</v>
      </c>
      <c r="F323" s="318">
        <f>A323*85/100</f>
        <v>1247.0279456800001</v>
      </c>
    </row>
    <row r="324" spans="1:7" ht="12.75">
      <c r="A324" s="369"/>
      <c r="B324" s="55"/>
      <c r="C324" s="146"/>
      <c r="D324" s="146"/>
      <c r="E324" s="147"/>
      <c r="F324" s="56"/>
      <c r="G324" s="57"/>
    </row>
    <row r="325" spans="1:7" ht="15">
      <c r="A325" s="587" t="s">
        <v>329</v>
      </c>
      <c r="B325" s="587"/>
      <c r="C325" s="587"/>
      <c r="D325" s="587"/>
      <c r="E325" s="587"/>
      <c r="F325" s="587"/>
      <c r="G325" s="39"/>
    </row>
    <row r="326" spans="1:7" ht="13.5" thickBot="1">
      <c r="A326" s="39"/>
      <c r="B326" s="39"/>
      <c r="C326" s="39"/>
      <c r="D326" s="39"/>
      <c r="E326" s="39"/>
      <c r="F326" s="39"/>
      <c r="G326" s="39" t="s">
        <v>10</v>
      </c>
    </row>
    <row r="327" spans="1:12" ht="45.75" customHeight="1">
      <c r="A327" s="361" t="s">
        <v>26</v>
      </c>
      <c r="B327" s="362" t="s">
        <v>27</v>
      </c>
      <c r="C327" s="272" t="str">
        <f>C302</f>
        <v>Allocation for 2019-20                                     </v>
      </c>
      <c r="D327" s="272" t="str">
        <f>D288</f>
        <v>Opening Balance as on 01.04.2019                                            </v>
      </c>
      <c r="E327" s="272" t="s">
        <v>45</v>
      </c>
      <c r="F327" s="272" t="s">
        <v>44</v>
      </c>
      <c r="G327" s="141" t="s">
        <v>46</v>
      </c>
      <c r="I327" s="98" t="s">
        <v>200</v>
      </c>
      <c r="J327" s="99" t="s">
        <v>214</v>
      </c>
      <c r="K327" s="100" t="s">
        <v>3</v>
      </c>
      <c r="L327" s="239"/>
    </row>
    <row r="328" spans="1:13" s="26" customFormat="1" ht="13.5" customHeight="1">
      <c r="A328" s="363">
        <v>1</v>
      </c>
      <c r="B328" s="364">
        <v>2</v>
      </c>
      <c r="C328" s="371">
        <v>3</v>
      </c>
      <c r="D328" s="371">
        <v>4</v>
      </c>
      <c r="E328" s="371">
        <v>5</v>
      </c>
      <c r="F328" s="371">
        <v>6</v>
      </c>
      <c r="G328" s="142">
        <v>7</v>
      </c>
      <c r="I328" s="588" t="s">
        <v>327</v>
      </c>
      <c r="J328" s="589"/>
      <c r="K328" s="590"/>
      <c r="L328" s="499"/>
      <c r="M328" s="15"/>
    </row>
    <row r="329" spans="1:16" ht="12.75">
      <c r="A329" s="222">
        <v>1</v>
      </c>
      <c r="B329" s="73" t="s">
        <v>131</v>
      </c>
      <c r="C329" s="93">
        <f>C304</f>
        <v>281.2480376161935</v>
      </c>
      <c r="D329" s="377">
        <f>D290</f>
        <v>14.007065633639213</v>
      </c>
      <c r="E329" s="93">
        <v>260.504876160961</v>
      </c>
      <c r="F329" s="378">
        <f aca="true" t="shared" si="47" ref="F329:F336">D329+E329</f>
        <v>274.5119417946002</v>
      </c>
      <c r="G329" s="150">
        <f aca="true" t="shared" si="48" ref="G329:G337">F329/C329</f>
        <v>0.9760492699658023</v>
      </c>
      <c r="I329" s="101">
        <v>147.37472443355816</v>
      </c>
      <c r="J329" s="93">
        <v>113.13015172740285</v>
      </c>
      <c r="K329" s="106">
        <f aca="true" t="shared" si="49" ref="K329:K336">SUM(I329:J329)</f>
        <v>260.504876160961</v>
      </c>
      <c r="L329" s="504"/>
      <c r="O329" s="26"/>
      <c r="P329" s="26"/>
    </row>
    <row r="330" spans="1:12" ht="12.75">
      <c r="A330" s="222">
        <v>2</v>
      </c>
      <c r="B330" s="73" t="s">
        <v>132</v>
      </c>
      <c r="C330" s="93">
        <f aca="true" t="shared" si="50" ref="C330:C336">C305</f>
        <v>144.5893536945459</v>
      </c>
      <c r="D330" s="377">
        <f aca="true" t="shared" si="51" ref="D330:D336">D291</f>
        <v>7.442100712162603</v>
      </c>
      <c r="E330" s="93">
        <v>133.98923391392984</v>
      </c>
      <c r="F330" s="378">
        <f t="shared" si="47"/>
        <v>141.43133462609245</v>
      </c>
      <c r="G330" s="150">
        <f t="shared" si="48"/>
        <v>0.9781587026446984</v>
      </c>
      <c r="I330" s="101">
        <v>73.17682695032636</v>
      </c>
      <c r="J330" s="93">
        <v>60.81240696360347</v>
      </c>
      <c r="K330" s="106">
        <f t="shared" si="49"/>
        <v>133.98923391392984</v>
      </c>
      <c r="L330" s="504"/>
    </row>
    <row r="331" spans="1:12" ht="12.75">
      <c r="A331" s="222">
        <v>3</v>
      </c>
      <c r="B331" s="73" t="s">
        <v>133</v>
      </c>
      <c r="C331" s="93">
        <f t="shared" si="50"/>
        <v>123.52482502364894</v>
      </c>
      <c r="D331" s="377">
        <f t="shared" si="51"/>
        <v>5.745228211590063</v>
      </c>
      <c r="E331" s="93">
        <v>114.30654320201019</v>
      </c>
      <c r="F331" s="378">
        <f t="shared" si="47"/>
        <v>120.05177141360025</v>
      </c>
      <c r="G331" s="150">
        <f t="shared" si="48"/>
        <v>0.9718837601317486</v>
      </c>
      <c r="I331" s="101">
        <v>69.09399198205904</v>
      </c>
      <c r="J331" s="93">
        <v>45.21255121995115</v>
      </c>
      <c r="K331" s="106">
        <f t="shared" si="49"/>
        <v>114.30654320201019</v>
      </c>
      <c r="L331" s="504"/>
    </row>
    <row r="332" spans="1:16" ht="12.75">
      <c r="A332" s="222">
        <v>4</v>
      </c>
      <c r="B332" s="73" t="s">
        <v>134</v>
      </c>
      <c r="C332" s="93">
        <f t="shared" si="50"/>
        <v>275.16550396258225</v>
      </c>
      <c r="D332" s="377">
        <f t="shared" si="51"/>
        <v>11.394848036473752</v>
      </c>
      <c r="E332" s="93">
        <v>254.25867036072577</v>
      </c>
      <c r="F332" s="378">
        <f t="shared" si="47"/>
        <v>265.65351839719955</v>
      </c>
      <c r="G332" s="150">
        <f t="shared" si="48"/>
        <v>0.9654317658703463</v>
      </c>
      <c r="I332" s="101">
        <v>168.98123818165362</v>
      </c>
      <c r="J332" s="93">
        <v>85.27743217907214</v>
      </c>
      <c r="K332" s="106">
        <f t="shared" si="49"/>
        <v>254.25867036072577</v>
      </c>
      <c r="L332" s="504"/>
      <c r="O332" s="26"/>
      <c r="P332" s="26"/>
    </row>
    <row r="333" spans="1:16" ht="12.75">
      <c r="A333" s="222">
        <v>5</v>
      </c>
      <c r="B333" s="73" t="s">
        <v>135</v>
      </c>
      <c r="C333" s="93">
        <f t="shared" si="50"/>
        <v>287.9045803932954</v>
      </c>
      <c r="D333" s="377">
        <f t="shared" si="51"/>
        <v>13.040336012686414</v>
      </c>
      <c r="E333" s="93">
        <v>266.32625595425736</v>
      </c>
      <c r="F333" s="378">
        <f t="shared" si="47"/>
        <v>279.36659196694376</v>
      </c>
      <c r="G333" s="150">
        <f t="shared" si="48"/>
        <v>0.9703443814103678</v>
      </c>
      <c r="I333" s="101">
        <v>164.801462501057</v>
      </c>
      <c r="J333" s="93">
        <v>101.52479345320035</v>
      </c>
      <c r="K333" s="106">
        <f t="shared" si="49"/>
        <v>266.32625595425736</v>
      </c>
      <c r="L333" s="504"/>
      <c r="O333" s="26"/>
      <c r="P333" s="26"/>
    </row>
    <row r="334" spans="1:16" ht="12.75">
      <c r="A334" s="222">
        <v>6</v>
      </c>
      <c r="B334" s="73" t="s">
        <v>136</v>
      </c>
      <c r="C334" s="93">
        <f t="shared" si="50"/>
        <v>162.7476295775433</v>
      </c>
      <c r="D334" s="377">
        <f t="shared" si="51"/>
        <v>6.756058259880396</v>
      </c>
      <c r="E334" s="93">
        <v>150.3865913470816</v>
      </c>
      <c r="F334" s="378">
        <f t="shared" si="47"/>
        <v>157.142649606962</v>
      </c>
      <c r="G334" s="150">
        <f t="shared" si="48"/>
        <v>0.9655602973442342</v>
      </c>
      <c r="I334" s="101">
        <v>99.76704138968415</v>
      </c>
      <c r="J334" s="93">
        <v>50.61954995739745</v>
      </c>
      <c r="K334" s="106">
        <f t="shared" si="49"/>
        <v>150.3865913470816</v>
      </c>
      <c r="L334" s="504"/>
      <c r="O334" s="26"/>
      <c r="P334" s="26"/>
    </row>
    <row r="335" spans="1:16" ht="12.75">
      <c r="A335" s="222">
        <v>7</v>
      </c>
      <c r="B335" s="73" t="s">
        <v>137</v>
      </c>
      <c r="C335" s="93">
        <f t="shared" si="50"/>
        <v>72.4750666997763</v>
      </c>
      <c r="D335" s="377">
        <f t="shared" si="51"/>
        <v>3.887739189905773</v>
      </c>
      <c r="E335" s="93">
        <v>67.2035161086742</v>
      </c>
      <c r="F335" s="378">
        <f t="shared" si="47"/>
        <v>71.09125529857997</v>
      </c>
      <c r="G335" s="150">
        <f t="shared" si="48"/>
        <v>0.9809063797494841</v>
      </c>
      <c r="I335" s="101">
        <v>34.989732743418585</v>
      </c>
      <c r="J335" s="93">
        <v>32.21378336525561</v>
      </c>
      <c r="K335" s="106">
        <f t="shared" si="49"/>
        <v>67.2035161086742</v>
      </c>
      <c r="L335" s="504"/>
      <c r="O335" s="26"/>
      <c r="P335" s="26"/>
    </row>
    <row r="336" spans="1:16" ht="13.5" thickBot="1">
      <c r="A336" s="222">
        <v>8</v>
      </c>
      <c r="B336" s="73" t="s">
        <v>300</v>
      </c>
      <c r="C336" s="93">
        <f t="shared" si="50"/>
        <v>119.43670383241428</v>
      </c>
      <c r="D336" s="377">
        <f t="shared" si="51"/>
        <v>5.59834816540786</v>
      </c>
      <c r="E336" s="93">
        <v>110.53497635895492</v>
      </c>
      <c r="F336" s="378">
        <f t="shared" si="47"/>
        <v>116.13332452436278</v>
      </c>
      <c r="G336" s="150">
        <f t="shared" si="48"/>
        <v>0.9723420087623433</v>
      </c>
      <c r="I336" s="102">
        <v>66.34281065880029</v>
      </c>
      <c r="J336" s="104">
        <v>44.19216570015463</v>
      </c>
      <c r="K336" s="107">
        <f t="shared" si="49"/>
        <v>110.53497635895492</v>
      </c>
      <c r="L336" s="504"/>
      <c r="O336" s="26"/>
      <c r="P336" s="26"/>
    </row>
    <row r="337" spans="1:12" ht="15.75" thickBot="1">
      <c r="A337" s="349"/>
      <c r="B337" s="246" t="s">
        <v>56</v>
      </c>
      <c r="C337" s="259">
        <f>SUM(C329:C336)</f>
        <v>1467.0917008000001</v>
      </c>
      <c r="D337" s="259">
        <f>SUM(D329:D336)</f>
        <v>67.87172422174608</v>
      </c>
      <c r="E337" s="259">
        <f>SUM(E329:E336)</f>
        <v>1357.5106634065949</v>
      </c>
      <c r="F337" s="259">
        <f>SUM(F329:F336)</f>
        <v>1425.382387628341</v>
      </c>
      <c r="G337" s="151">
        <f t="shared" si="48"/>
        <v>0.9715700708081743</v>
      </c>
      <c r="I337" s="103">
        <f>SUM(I329:I336)</f>
        <v>824.5278288405572</v>
      </c>
      <c r="J337" s="103">
        <f>SUM(J329:J336)</f>
        <v>532.9828345660377</v>
      </c>
      <c r="K337" s="103">
        <f>SUM(K329:K336)</f>
        <v>1357.5106634065949</v>
      </c>
      <c r="L337" s="504"/>
    </row>
    <row r="338" spans="1:7" ht="6" customHeight="1">
      <c r="A338" s="379"/>
      <c r="B338" s="55"/>
      <c r="C338" s="146"/>
      <c r="D338" s="146"/>
      <c r="E338" s="147"/>
      <c r="F338" s="56"/>
      <c r="G338" s="57"/>
    </row>
    <row r="339" spans="1:8" ht="15">
      <c r="A339" s="350" t="s">
        <v>212</v>
      </c>
      <c r="B339" s="37"/>
      <c r="C339" s="380"/>
      <c r="D339" s="39"/>
      <c r="E339" s="39"/>
      <c r="F339" s="39"/>
      <c r="G339" s="39"/>
      <c r="H339" s="39"/>
    </row>
    <row r="340" spans="1:8" ht="17.25" customHeight="1">
      <c r="A340" s="39"/>
      <c r="B340" s="39"/>
      <c r="C340" s="50"/>
      <c r="D340" s="39"/>
      <c r="E340" s="39"/>
      <c r="F340" s="39"/>
      <c r="G340" s="39"/>
      <c r="H340" s="39"/>
    </row>
    <row r="341" spans="1:5" ht="12.75">
      <c r="A341" s="381" t="s">
        <v>33</v>
      </c>
      <c r="B341" s="381" t="s">
        <v>235</v>
      </c>
      <c r="C341" s="381" t="s">
        <v>58</v>
      </c>
      <c r="D341" s="381" t="s">
        <v>38</v>
      </c>
      <c r="E341" s="381" t="s">
        <v>37</v>
      </c>
    </row>
    <row r="342" spans="1:5" ht="12.75">
      <c r="A342" s="93">
        <f>C357</f>
        <v>1467.0917008000001</v>
      </c>
      <c r="B342" s="93">
        <f>F337</f>
        <v>1425.382387628341</v>
      </c>
      <c r="C342" s="382">
        <f>B342/A342</f>
        <v>0.9715700708081743</v>
      </c>
      <c r="D342" s="93">
        <f>D357</f>
        <v>706.9096766360001</v>
      </c>
      <c r="E342" s="383">
        <f>D342/A342</f>
        <v>0.4818442339020285</v>
      </c>
    </row>
    <row r="343" spans="1:4" ht="12.75" hidden="1">
      <c r="A343" s="153">
        <v>47718.17</v>
      </c>
      <c r="B343" s="143">
        <v>52695.2695473923</v>
      </c>
      <c r="C343" s="153">
        <v>21852.21479</v>
      </c>
      <c r="D343" s="144">
        <f>A343*75/100</f>
        <v>35788.6275</v>
      </c>
    </row>
    <row r="344" spans="1:8" ht="9.75" customHeight="1">
      <c r="A344" s="39"/>
      <c r="B344" s="39"/>
      <c r="C344" s="39"/>
      <c r="D344" s="39"/>
      <c r="E344" s="39"/>
      <c r="F344" s="39"/>
      <c r="G344" s="39"/>
      <c r="H344" s="39"/>
    </row>
    <row r="345" spans="1:6" ht="15">
      <c r="A345" s="587" t="s">
        <v>330</v>
      </c>
      <c r="B345" s="587"/>
      <c r="C345" s="587"/>
      <c r="D345" s="587"/>
      <c r="E345" s="587"/>
      <c r="F345" s="587"/>
    </row>
    <row r="346" spans="1:8" ht="13.5" thickBot="1">
      <c r="A346" s="39"/>
      <c r="B346" s="39"/>
      <c r="C346" s="39"/>
      <c r="D346" s="39"/>
      <c r="E346" s="39" t="s">
        <v>10</v>
      </c>
      <c r="F346" s="39"/>
      <c r="G346" s="39"/>
      <c r="H346" s="39"/>
    </row>
    <row r="347" spans="1:12" ht="41.25" customHeight="1">
      <c r="A347" s="352" t="s">
        <v>26</v>
      </c>
      <c r="B347" s="352" t="s">
        <v>27</v>
      </c>
      <c r="C347" s="352" t="str">
        <f>C327</f>
        <v>Allocation for 2019-20                                     </v>
      </c>
      <c r="D347" s="352" t="s">
        <v>49</v>
      </c>
      <c r="E347" s="352" t="s">
        <v>48</v>
      </c>
      <c r="F347" s="39"/>
      <c r="G347" s="39"/>
      <c r="H347" s="39"/>
      <c r="I347" s="98" t="s">
        <v>200</v>
      </c>
      <c r="J347" s="99" t="s">
        <v>214</v>
      </c>
      <c r="K347" s="100" t="s">
        <v>3</v>
      </c>
      <c r="L347" s="239"/>
    </row>
    <row r="348" spans="1:12" s="15" customFormat="1" ht="12.75">
      <c r="A348" s="371">
        <v>1</v>
      </c>
      <c r="B348" s="371">
        <v>2</v>
      </c>
      <c r="C348" s="371">
        <v>3</v>
      </c>
      <c r="D348" s="371">
        <v>4</v>
      </c>
      <c r="E348" s="371">
        <v>5</v>
      </c>
      <c r="F348" s="40"/>
      <c r="G348" s="40"/>
      <c r="H348" s="40"/>
      <c r="I348" s="588" t="s">
        <v>227</v>
      </c>
      <c r="J348" s="589"/>
      <c r="K348" s="590"/>
      <c r="L348" s="499"/>
    </row>
    <row r="349" spans="1:12" ht="12.75" customHeight="1">
      <c r="A349" s="356">
        <v>1</v>
      </c>
      <c r="B349" s="73" t="s">
        <v>131</v>
      </c>
      <c r="C349" s="93">
        <f>C329</f>
        <v>281.2480376161935</v>
      </c>
      <c r="D349" s="93">
        <v>135.78100889609436</v>
      </c>
      <c r="E349" s="382">
        <f>D349/C349</f>
        <v>0.4827802890535669</v>
      </c>
      <c r="F349" s="39"/>
      <c r="G349" s="39"/>
      <c r="H349" s="39"/>
      <c r="I349" s="101">
        <v>76.07316856946488</v>
      </c>
      <c r="J349" s="93">
        <v>59.707840326629494</v>
      </c>
      <c r="K349" s="106">
        <f aca="true" t="shared" si="52" ref="K349:K356">SUM(I349:J349)</f>
        <v>135.78100889609436</v>
      </c>
      <c r="L349" s="504"/>
    </row>
    <row r="350" spans="1:12" ht="12.75" customHeight="1">
      <c r="A350" s="356">
        <v>2</v>
      </c>
      <c r="B350" s="73" t="s">
        <v>132</v>
      </c>
      <c r="C350" s="93">
        <f aca="true" t="shared" si="53" ref="C350:C356">C330</f>
        <v>144.5893536945459</v>
      </c>
      <c r="D350" s="93">
        <v>69.86862864865591</v>
      </c>
      <c r="E350" s="382">
        <f>D350/C350</f>
        <v>0.48322111457983125</v>
      </c>
      <c r="F350" s="39"/>
      <c r="G350" s="39"/>
      <c r="H350" s="39"/>
      <c r="I350" s="101">
        <v>37.77305174524991</v>
      </c>
      <c r="J350" s="93">
        <v>32.09557690340601</v>
      </c>
      <c r="K350" s="106">
        <f t="shared" si="52"/>
        <v>69.86862864865591</v>
      </c>
      <c r="L350" s="504"/>
    </row>
    <row r="351" spans="1:12" ht="12.75" customHeight="1">
      <c r="A351" s="356">
        <v>3</v>
      </c>
      <c r="B351" s="73" t="s">
        <v>133</v>
      </c>
      <c r="C351" s="93">
        <f t="shared" si="53"/>
        <v>123.52482502364894</v>
      </c>
      <c r="D351" s="93">
        <v>59.527822257723656</v>
      </c>
      <c r="E351" s="382">
        <f>D351/C351</f>
        <v>0.4819097881444236</v>
      </c>
      <c r="F351" s="39"/>
      <c r="G351" s="39"/>
      <c r="H351" s="39"/>
      <c r="I351" s="101">
        <v>35.66553843877155</v>
      </c>
      <c r="J351" s="93">
        <v>23.862283818952104</v>
      </c>
      <c r="K351" s="106">
        <f t="shared" si="52"/>
        <v>59.527822257723656</v>
      </c>
      <c r="L351" s="504"/>
    </row>
    <row r="352" spans="1:12" ht="12.75" customHeight="1">
      <c r="A352" s="356">
        <v>4</v>
      </c>
      <c r="B352" s="73" t="s">
        <v>134</v>
      </c>
      <c r="C352" s="93">
        <f t="shared" si="53"/>
        <v>275.16550396258225</v>
      </c>
      <c r="D352" s="93">
        <v>132.2339368064527</v>
      </c>
      <c r="E352" s="382">
        <f aca="true" t="shared" si="54" ref="E352:E357">D352/C352</f>
        <v>0.480561461746434</v>
      </c>
      <c r="F352" s="39"/>
      <c r="G352" s="39"/>
      <c r="H352" s="39"/>
      <c r="I352" s="101">
        <v>87.22620698141019</v>
      </c>
      <c r="J352" s="93">
        <v>45.007729825042524</v>
      </c>
      <c r="K352" s="106">
        <f t="shared" si="52"/>
        <v>132.2339368064527</v>
      </c>
      <c r="L352" s="504"/>
    </row>
    <row r="353" spans="1:12" ht="12.75" customHeight="1">
      <c r="A353" s="356">
        <v>5</v>
      </c>
      <c r="B353" s="73" t="s">
        <v>135</v>
      </c>
      <c r="C353" s="93">
        <f t="shared" si="53"/>
        <v>287.9045803932954</v>
      </c>
      <c r="D353" s="93">
        <v>138.6514174029128</v>
      </c>
      <c r="E353" s="382">
        <f t="shared" si="54"/>
        <v>0.4815880914902654</v>
      </c>
      <c r="F353" s="39"/>
      <c r="G353" s="39"/>
      <c r="H353" s="39"/>
      <c r="I353" s="101">
        <v>85.06865397390021</v>
      </c>
      <c r="J353" s="93">
        <v>53.582763429012594</v>
      </c>
      <c r="K353" s="106">
        <f t="shared" si="52"/>
        <v>138.6514174029128</v>
      </c>
      <c r="L353" s="504"/>
    </row>
    <row r="354" spans="1:12" ht="12.75" customHeight="1">
      <c r="A354" s="356">
        <v>6</v>
      </c>
      <c r="B354" s="73" t="s">
        <v>136</v>
      </c>
      <c r="C354" s="93">
        <f t="shared" si="53"/>
        <v>162.7476295775433</v>
      </c>
      <c r="D354" s="93">
        <v>78.21461021262262</v>
      </c>
      <c r="E354" s="382">
        <f t="shared" si="54"/>
        <v>0.4805883220274874</v>
      </c>
      <c r="F354" s="39"/>
      <c r="G354" s="39"/>
      <c r="H354" s="39"/>
      <c r="I354" s="101">
        <v>51.49862017713822</v>
      </c>
      <c r="J354" s="93">
        <v>26.715990035484396</v>
      </c>
      <c r="K354" s="106">
        <f t="shared" si="52"/>
        <v>78.21461021262262</v>
      </c>
      <c r="L354" s="504"/>
    </row>
    <row r="355" spans="1:12" ht="12.75" customHeight="1">
      <c r="A355" s="356">
        <v>7</v>
      </c>
      <c r="B355" s="73" t="s">
        <v>137</v>
      </c>
      <c r="C355" s="93">
        <f t="shared" si="53"/>
        <v>72.4750666997763</v>
      </c>
      <c r="D355" s="93">
        <v>35.063098035465856</v>
      </c>
      <c r="E355" s="382">
        <f t="shared" si="54"/>
        <v>0.48379531930219083</v>
      </c>
      <c r="F355" s="39"/>
      <c r="G355" s="39"/>
      <c r="H355" s="39"/>
      <c r="I355" s="101">
        <v>18.06130493150224</v>
      </c>
      <c r="J355" s="93">
        <v>17.00179310396362</v>
      </c>
      <c r="K355" s="106">
        <f t="shared" si="52"/>
        <v>35.063098035465856</v>
      </c>
      <c r="L355" s="504"/>
    </row>
    <row r="356" spans="1:12" ht="12.75" customHeight="1" thickBot="1">
      <c r="A356" s="537">
        <v>8</v>
      </c>
      <c r="B356" s="538" t="s">
        <v>300</v>
      </c>
      <c r="C356" s="104">
        <f t="shared" si="53"/>
        <v>119.43670383241428</v>
      </c>
      <c r="D356" s="104">
        <v>57.56915437607217</v>
      </c>
      <c r="E356" s="539">
        <f t="shared" si="54"/>
        <v>0.4820055521362128</v>
      </c>
      <c r="F356" s="39"/>
      <c r="G356" s="39"/>
      <c r="H356" s="39"/>
      <c r="I356" s="102">
        <v>34.24540970656291</v>
      </c>
      <c r="J356" s="104">
        <v>23.32374466950926</v>
      </c>
      <c r="K356" s="107">
        <f t="shared" si="52"/>
        <v>57.56915437607217</v>
      </c>
      <c r="L356" s="504"/>
    </row>
    <row r="357" spans="1:12" s="13" customFormat="1" ht="12.75" customHeight="1" thickBot="1">
      <c r="A357" s="540"/>
      <c r="B357" s="253" t="s">
        <v>56</v>
      </c>
      <c r="C357" s="541">
        <f>SUM(C349:C356)</f>
        <v>1467.0917008000001</v>
      </c>
      <c r="D357" s="541">
        <f>SUM(D349:D356)</f>
        <v>706.9096766360001</v>
      </c>
      <c r="E357" s="542">
        <f t="shared" si="54"/>
        <v>0.4818442339020285</v>
      </c>
      <c r="F357" s="38"/>
      <c r="G357" s="38"/>
      <c r="H357" s="38"/>
      <c r="I357" s="103">
        <f>SUM(I349:I356)</f>
        <v>425.6119545240001</v>
      </c>
      <c r="J357" s="103">
        <f>SUM(J349:J356)</f>
        <v>281.29772211200003</v>
      </c>
      <c r="K357" s="103">
        <f>SUM(K349:K356)</f>
        <v>706.9096766360001</v>
      </c>
      <c r="L357" s="504"/>
    </row>
    <row r="358" spans="1:12" s="13" customFormat="1" ht="12.75" customHeight="1">
      <c r="A358" s="264"/>
      <c r="B358" s="265"/>
      <c r="C358" s="387"/>
      <c r="D358" s="388"/>
      <c r="E358" s="269"/>
      <c r="F358" s="38"/>
      <c r="G358" s="38"/>
      <c r="H358" s="38"/>
      <c r="K358" s="4"/>
      <c r="L358" s="4"/>
    </row>
    <row r="359" spans="1:8" ht="15">
      <c r="A359" s="576" t="s">
        <v>280</v>
      </c>
      <c r="B359" s="576"/>
      <c r="C359" s="576"/>
      <c r="D359" s="576"/>
      <c r="E359" s="576"/>
      <c r="F359" s="576"/>
      <c r="G359" s="39"/>
      <c r="H359" s="39"/>
    </row>
    <row r="360" spans="1:8" ht="12.75">
      <c r="A360" s="38"/>
      <c r="B360" s="39"/>
      <c r="C360" s="39"/>
      <c r="D360" s="39"/>
      <c r="E360" s="39"/>
      <c r="F360" s="39"/>
      <c r="G360" s="39"/>
      <c r="H360" s="39"/>
    </row>
    <row r="361" spans="1:8" ht="15">
      <c r="A361" s="350" t="s">
        <v>167</v>
      </c>
      <c r="B361" s="37"/>
      <c r="C361" s="37"/>
      <c r="D361" s="37"/>
      <c r="E361" s="39"/>
      <c r="F361" s="39"/>
      <c r="G361" s="39"/>
      <c r="H361" s="39"/>
    </row>
    <row r="362" spans="2:8" ht="12" customHeight="1">
      <c r="B362" s="39"/>
      <c r="C362" s="39"/>
      <c r="D362" s="39"/>
      <c r="E362" s="39"/>
      <c r="F362" s="39"/>
      <c r="G362" s="39"/>
      <c r="H362" s="39"/>
    </row>
    <row r="363" spans="1:6" ht="39" customHeight="1">
      <c r="A363" s="352" t="s">
        <v>1</v>
      </c>
      <c r="B363" s="352" t="s">
        <v>2</v>
      </c>
      <c r="C363" s="389" t="s">
        <v>28</v>
      </c>
      <c r="D363" s="389" t="s">
        <v>29</v>
      </c>
      <c r="E363" s="352" t="s">
        <v>50</v>
      </c>
      <c r="F363" s="274"/>
    </row>
    <row r="364" spans="1:6" s="15" customFormat="1" ht="12" customHeight="1">
      <c r="A364" s="276">
        <v>1</v>
      </c>
      <c r="B364" s="276">
        <v>2</v>
      </c>
      <c r="C364" s="277">
        <v>3</v>
      </c>
      <c r="D364" s="277">
        <v>4</v>
      </c>
      <c r="E364" s="276">
        <v>5</v>
      </c>
      <c r="F364" s="278"/>
    </row>
    <row r="365" spans="1:7" ht="13.5" customHeight="1">
      <c r="A365" s="356">
        <v>1</v>
      </c>
      <c r="B365" s="73" t="s">
        <v>131</v>
      </c>
      <c r="C365" s="390">
        <f>E222</f>
        <v>0.785946503350659</v>
      </c>
      <c r="D365" s="382">
        <f>E349</f>
        <v>0.4827802890535669</v>
      </c>
      <c r="E365" s="382">
        <f>C365-D365</f>
        <v>0.30316621429709206</v>
      </c>
      <c r="F365" s="391"/>
      <c r="G365" s="21"/>
    </row>
    <row r="366" spans="1:7" ht="13.5" customHeight="1">
      <c r="A366" s="356">
        <v>2</v>
      </c>
      <c r="B366" s="73" t="s">
        <v>132</v>
      </c>
      <c r="C366" s="390">
        <f aca="true" t="shared" si="55" ref="C366:C373">E223</f>
        <v>0.8184390212016618</v>
      </c>
      <c r="D366" s="382">
        <f aca="true" t="shared" si="56" ref="D366:D373">E350</f>
        <v>0.48322111457983125</v>
      </c>
      <c r="E366" s="382">
        <f aca="true" t="shared" si="57" ref="E366:E372">C366-D366</f>
        <v>0.33521790662183054</v>
      </c>
      <c r="F366" s="391"/>
      <c r="G366" s="21"/>
    </row>
    <row r="367" spans="1:7" ht="13.5" customHeight="1">
      <c r="A367" s="356">
        <v>3</v>
      </c>
      <c r="B367" s="73" t="s">
        <v>133</v>
      </c>
      <c r="C367" s="390">
        <f t="shared" si="55"/>
        <v>0.7942881157322086</v>
      </c>
      <c r="D367" s="382">
        <f t="shared" si="56"/>
        <v>0.4819097881444236</v>
      </c>
      <c r="E367" s="382">
        <f t="shared" si="57"/>
        <v>0.312378327587785</v>
      </c>
      <c r="F367" s="391"/>
      <c r="G367" s="21"/>
    </row>
    <row r="368" spans="1:7" ht="13.5" customHeight="1">
      <c r="A368" s="356">
        <v>4</v>
      </c>
      <c r="B368" s="73" t="s">
        <v>134</v>
      </c>
      <c r="C368" s="390">
        <f t="shared" si="55"/>
        <v>0.79128153987</v>
      </c>
      <c r="D368" s="382">
        <f t="shared" si="56"/>
        <v>0.480561461746434</v>
      </c>
      <c r="E368" s="382">
        <f t="shared" si="57"/>
        <v>0.31072007812356606</v>
      </c>
      <c r="F368" s="391"/>
      <c r="G368" s="21"/>
    </row>
    <row r="369" spans="1:7" ht="13.5" customHeight="1">
      <c r="A369" s="356">
        <v>5</v>
      </c>
      <c r="B369" s="73" t="s">
        <v>135</v>
      </c>
      <c r="C369" s="390">
        <f t="shared" si="55"/>
        <v>0.7935744450853247</v>
      </c>
      <c r="D369" s="382">
        <f t="shared" si="56"/>
        <v>0.4815880914902654</v>
      </c>
      <c r="E369" s="382">
        <f t="shared" si="57"/>
        <v>0.31198635359505933</v>
      </c>
      <c r="F369" s="391"/>
      <c r="G369" s="21"/>
    </row>
    <row r="370" spans="1:7" ht="13.5" customHeight="1">
      <c r="A370" s="356">
        <v>6</v>
      </c>
      <c r="B370" s="73" t="s">
        <v>136</v>
      </c>
      <c r="C370" s="390">
        <f t="shared" si="55"/>
        <v>0.7913418305620733</v>
      </c>
      <c r="D370" s="382">
        <f t="shared" si="56"/>
        <v>0.4805883220274874</v>
      </c>
      <c r="E370" s="382">
        <f t="shared" si="57"/>
        <v>0.3107535085345859</v>
      </c>
      <c r="F370" s="391"/>
      <c r="G370" s="21"/>
    </row>
    <row r="371" spans="1:7" ht="13.5" customHeight="1">
      <c r="A371" s="356">
        <v>7</v>
      </c>
      <c r="B371" s="73" t="s">
        <v>137</v>
      </c>
      <c r="C371" s="390">
        <f t="shared" si="55"/>
        <v>0.798425613674853</v>
      </c>
      <c r="D371" s="382">
        <f t="shared" si="56"/>
        <v>0.48379531930219083</v>
      </c>
      <c r="E371" s="382">
        <f t="shared" si="57"/>
        <v>0.31463029437266216</v>
      </c>
      <c r="F371" s="391"/>
      <c r="G371" s="21"/>
    </row>
    <row r="372" spans="1:7" ht="13.5" customHeight="1" thickBot="1">
      <c r="A372" s="537">
        <v>8</v>
      </c>
      <c r="B372" s="538" t="s">
        <v>300</v>
      </c>
      <c r="C372" s="543">
        <f t="shared" si="55"/>
        <v>0.7945001234575503</v>
      </c>
      <c r="D372" s="539">
        <f t="shared" si="56"/>
        <v>0.4820055521362128</v>
      </c>
      <c r="E372" s="382">
        <f t="shared" si="57"/>
        <v>0.31249457132133746</v>
      </c>
      <c r="F372" s="391"/>
      <c r="G372" s="21"/>
    </row>
    <row r="373" spans="1:7" ht="13.5" customHeight="1" thickBot="1">
      <c r="A373" s="544"/>
      <c r="B373" s="545" t="s">
        <v>56</v>
      </c>
      <c r="C373" s="546">
        <f t="shared" si="55"/>
        <v>0.7941428716241249</v>
      </c>
      <c r="D373" s="547">
        <f t="shared" si="56"/>
        <v>0.4818442339020285</v>
      </c>
      <c r="E373" s="548">
        <f>C373-D373</f>
        <v>0.3122986377220964</v>
      </c>
      <c r="F373" s="391"/>
      <c r="G373" s="21"/>
    </row>
    <row r="374" spans="1:7" ht="14.25" customHeight="1">
      <c r="A374" s="54"/>
      <c r="B374" s="55"/>
      <c r="C374" s="146"/>
      <c r="D374" s="146"/>
      <c r="E374" s="147"/>
      <c r="F374" s="56"/>
      <c r="G374" s="57"/>
    </row>
    <row r="375" spans="1:8" ht="15">
      <c r="A375" s="576" t="s">
        <v>281</v>
      </c>
      <c r="B375" s="576"/>
      <c r="C375" s="576"/>
      <c r="D375" s="576"/>
      <c r="E375" s="576"/>
      <c r="F375" s="37"/>
      <c r="G375" s="37"/>
      <c r="H375" s="39"/>
    </row>
    <row r="376" spans="2:8" ht="11.25" customHeight="1">
      <c r="B376" s="39"/>
      <c r="C376" s="39"/>
      <c r="D376" s="39"/>
      <c r="E376" s="39"/>
      <c r="F376" s="39"/>
      <c r="G376" s="39"/>
      <c r="H376" s="39"/>
    </row>
    <row r="377" spans="2:8" ht="14.25" customHeight="1">
      <c r="B377" s="39"/>
      <c r="C377" s="39"/>
      <c r="D377" s="39"/>
      <c r="E377" s="295" t="s">
        <v>77</v>
      </c>
      <c r="F377" s="39"/>
      <c r="G377" s="39"/>
      <c r="H377" s="39"/>
    </row>
    <row r="378" spans="1:16" ht="52.5" customHeight="1" thickBot="1">
      <c r="A378" s="352" t="s">
        <v>1</v>
      </c>
      <c r="B378" s="352" t="s">
        <v>2</v>
      </c>
      <c r="C378" s="389" t="s">
        <v>309</v>
      </c>
      <c r="D378" s="389" t="s">
        <v>78</v>
      </c>
      <c r="E378" s="389" t="s">
        <v>79</v>
      </c>
      <c r="F378" s="352" t="s">
        <v>80</v>
      </c>
      <c r="I378" s="591" t="s">
        <v>200</v>
      </c>
      <c r="J378" s="591"/>
      <c r="K378" s="591" t="s">
        <v>207</v>
      </c>
      <c r="L378" s="591"/>
      <c r="M378" s="591"/>
      <c r="N378" s="591" t="s">
        <v>56</v>
      </c>
      <c r="O378" s="591"/>
      <c r="P378" s="239"/>
    </row>
    <row r="379" spans="1:16" s="15" customFormat="1" ht="13.5" customHeight="1">
      <c r="A379" s="276">
        <v>1</v>
      </c>
      <c r="B379" s="276">
        <v>2</v>
      </c>
      <c r="C379" s="277">
        <v>3</v>
      </c>
      <c r="D379" s="392">
        <v>4</v>
      </c>
      <c r="E379" s="277">
        <v>5</v>
      </c>
      <c r="F379" s="276">
        <v>6</v>
      </c>
      <c r="I379" s="98" t="s">
        <v>208</v>
      </c>
      <c r="J379" s="100" t="s">
        <v>209</v>
      </c>
      <c r="K379" s="98" t="s">
        <v>208</v>
      </c>
      <c r="L379" s="99"/>
      <c r="M379" s="100" t="s">
        <v>209</v>
      </c>
      <c r="N379" s="98" t="s">
        <v>208</v>
      </c>
      <c r="O379" s="100" t="s">
        <v>210</v>
      </c>
      <c r="P379" s="239"/>
    </row>
    <row r="380" spans="1:16" ht="13.5" customHeight="1">
      <c r="A380" s="356">
        <v>1</v>
      </c>
      <c r="B380" s="244" t="s">
        <v>131</v>
      </c>
      <c r="C380" s="17">
        <v>3908616.7286505196</v>
      </c>
      <c r="D380" s="145">
        <v>464.03412264719464</v>
      </c>
      <c r="E380" s="93">
        <f>D222</f>
        <v>464.03412264719464</v>
      </c>
      <c r="F380" s="382">
        <f aca="true" t="shared" si="58" ref="F380:F387">E380/D380</f>
        <v>1</v>
      </c>
      <c r="I380" s="549">
        <v>2445167.733007666</v>
      </c>
      <c r="J380" s="106">
        <f>I380*100/1000000</f>
        <v>244.51677330076663</v>
      </c>
      <c r="K380" s="549">
        <v>1463448.9956428532</v>
      </c>
      <c r="L380" s="17"/>
      <c r="M380" s="106">
        <f>K380*150/1000000</f>
        <v>219.51734934642798</v>
      </c>
      <c r="N380" s="214">
        <f>I380+K380</f>
        <v>3908616.7286505196</v>
      </c>
      <c r="O380" s="106">
        <f aca="true" t="shared" si="59" ref="O380:O387">J380+M380</f>
        <v>464.03412264719464</v>
      </c>
      <c r="P380" s="504"/>
    </row>
    <row r="381" spans="1:16" ht="13.5" customHeight="1">
      <c r="A381" s="356">
        <v>2</v>
      </c>
      <c r="B381" s="244" t="s">
        <v>132</v>
      </c>
      <c r="C381" s="17">
        <v>1957304.1913494812</v>
      </c>
      <c r="D381" s="145">
        <v>233.6328813528055</v>
      </c>
      <c r="E381" s="93">
        <f aca="true" t="shared" si="60" ref="E381:E387">D223</f>
        <v>233.6328813528055</v>
      </c>
      <c r="F381" s="382">
        <f t="shared" si="58"/>
        <v>1</v>
      </c>
      <c r="I381" s="549">
        <v>1199254.946992334</v>
      </c>
      <c r="J381" s="106">
        <f aca="true" t="shared" si="61" ref="J381:J387">I381*100/1000000</f>
        <v>119.9254946992334</v>
      </c>
      <c r="K381" s="549">
        <v>758049.2443571474</v>
      </c>
      <c r="L381" s="17"/>
      <c r="M381" s="106">
        <f aca="true" t="shared" si="62" ref="M381:M387">K381*150/1000000</f>
        <v>113.70738665357212</v>
      </c>
      <c r="N381" s="214">
        <f aca="true" t="shared" si="63" ref="N381:N387">I381+K381</f>
        <v>1957304.1913494812</v>
      </c>
      <c r="O381" s="106">
        <f t="shared" si="59"/>
        <v>233.6328813528055</v>
      </c>
      <c r="P381" s="504"/>
    </row>
    <row r="382" spans="1:16" ht="13.5" customHeight="1">
      <c r="A382" s="356">
        <v>3</v>
      </c>
      <c r="B382" s="244" t="s">
        <v>133</v>
      </c>
      <c r="C382" s="17">
        <v>1719147.8800000001</v>
      </c>
      <c r="D382" s="145">
        <v>200.78627400000002</v>
      </c>
      <c r="E382" s="93">
        <f t="shared" si="60"/>
        <v>200.78627400000002</v>
      </c>
      <c r="F382" s="382">
        <f t="shared" si="58"/>
        <v>1</v>
      </c>
      <c r="I382" s="549">
        <v>1141718.1600000001</v>
      </c>
      <c r="J382" s="106">
        <f t="shared" si="61"/>
        <v>114.17181600000002</v>
      </c>
      <c r="K382" s="549">
        <v>577429.72</v>
      </c>
      <c r="L382" s="17"/>
      <c r="M382" s="106">
        <f t="shared" si="62"/>
        <v>86.614458</v>
      </c>
      <c r="N382" s="214">
        <f t="shared" si="63"/>
        <v>1719147.8800000001</v>
      </c>
      <c r="O382" s="106">
        <f t="shared" si="59"/>
        <v>200.78627400000002</v>
      </c>
      <c r="P382" s="504"/>
    </row>
    <row r="383" spans="1:16" ht="13.5" customHeight="1">
      <c r="A383" s="356">
        <v>4</v>
      </c>
      <c r="B383" s="244" t="s">
        <v>134</v>
      </c>
      <c r="C383" s="17">
        <v>3881384.3200000003</v>
      </c>
      <c r="D383" s="145">
        <v>442.594244</v>
      </c>
      <c r="E383" s="93">
        <f t="shared" si="60"/>
        <v>442.594244</v>
      </c>
      <c r="F383" s="382">
        <f t="shared" si="58"/>
        <v>1</v>
      </c>
      <c r="I383" s="549">
        <v>2792268.08</v>
      </c>
      <c r="J383" s="106">
        <f t="shared" si="61"/>
        <v>279.226808</v>
      </c>
      <c r="K383" s="549">
        <v>1089116.24</v>
      </c>
      <c r="L383" s="17"/>
      <c r="M383" s="106">
        <f t="shared" si="62"/>
        <v>163.367436</v>
      </c>
      <c r="N383" s="214">
        <f t="shared" si="63"/>
        <v>3881384.3200000003</v>
      </c>
      <c r="O383" s="106">
        <f t="shared" si="59"/>
        <v>442.594244</v>
      </c>
      <c r="P383" s="504"/>
    </row>
    <row r="384" spans="1:16" ht="13.5" customHeight="1">
      <c r="A384" s="356">
        <v>5</v>
      </c>
      <c r="B384" s="244" t="s">
        <v>135</v>
      </c>
      <c r="C384" s="17">
        <v>4019819.48</v>
      </c>
      <c r="D384" s="145">
        <v>466.81287599999996</v>
      </c>
      <c r="E384" s="93">
        <f t="shared" si="60"/>
        <v>466.812876</v>
      </c>
      <c r="F384" s="382">
        <f t="shared" si="58"/>
        <v>1.0000000000000002</v>
      </c>
      <c r="I384" s="549">
        <v>2723200.92</v>
      </c>
      <c r="J384" s="106">
        <f t="shared" si="61"/>
        <v>272.320092</v>
      </c>
      <c r="K384" s="549">
        <v>1296618.56</v>
      </c>
      <c r="L384" s="17"/>
      <c r="M384" s="106">
        <f t="shared" si="62"/>
        <v>194.492784</v>
      </c>
      <c r="N384" s="214">
        <f t="shared" si="63"/>
        <v>4019819.48</v>
      </c>
      <c r="O384" s="106">
        <f t="shared" si="59"/>
        <v>466.81287599999996</v>
      </c>
      <c r="P384" s="504"/>
    </row>
    <row r="385" spans="1:16" ht="13.5" customHeight="1">
      <c r="A385" s="356">
        <v>6</v>
      </c>
      <c r="B385" s="244" t="s">
        <v>136</v>
      </c>
      <c r="C385" s="17">
        <v>2295048.5599999996</v>
      </c>
      <c r="D385" s="145">
        <v>261.829102</v>
      </c>
      <c r="E385" s="93">
        <f t="shared" si="60"/>
        <v>261.829102</v>
      </c>
      <c r="F385" s="382">
        <f t="shared" si="58"/>
        <v>1</v>
      </c>
      <c r="I385" s="549">
        <v>1648563.64</v>
      </c>
      <c r="J385" s="106">
        <f t="shared" si="61"/>
        <v>164.856364</v>
      </c>
      <c r="K385" s="549">
        <v>646484.9199999999</v>
      </c>
      <c r="L385" s="17"/>
      <c r="M385" s="106">
        <f t="shared" si="62"/>
        <v>96.97273799999998</v>
      </c>
      <c r="N385" s="214">
        <f t="shared" si="63"/>
        <v>2295048.5599999996</v>
      </c>
      <c r="O385" s="106">
        <f t="shared" si="59"/>
        <v>261.829102</v>
      </c>
      <c r="P385" s="504"/>
    </row>
    <row r="386" spans="1:16" ht="13.5" customHeight="1">
      <c r="A386" s="356">
        <v>7</v>
      </c>
      <c r="B386" s="244" t="s">
        <v>137</v>
      </c>
      <c r="C386" s="17">
        <v>989591.56</v>
      </c>
      <c r="D386" s="145">
        <v>119.529988</v>
      </c>
      <c r="E386" s="93">
        <f t="shared" si="60"/>
        <v>119.529988</v>
      </c>
      <c r="F386" s="382">
        <f t="shared" si="58"/>
        <v>1</v>
      </c>
      <c r="I386" s="549">
        <v>578174.92</v>
      </c>
      <c r="J386" s="106">
        <f t="shared" si="61"/>
        <v>57.81749200000001</v>
      </c>
      <c r="K386" s="549">
        <v>411416.64</v>
      </c>
      <c r="L386" s="17"/>
      <c r="M386" s="106">
        <f t="shared" si="62"/>
        <v>61.712496</v>
      </c>
      <c r="N386" s="214">
        <f t="shared" si="63"/>
        <v>989591.56</v>
      </c>
      <c r="O386" s="106">
        <f t="shared" si="59"/>
        <v>119.529988</v>
      </c>
      <c r="P386" s="504"/>
    </row>
    <row r="387" spans="1:16" ht="13.5" customHeight="1">
      <c r="A387" s="356">
        <v>8</v>
      </c>
      <c r="B387" s="244" t="s">
        <v>300</v>
      </c>
      <c r="C387" s="17">
        <v>1660655.2000000002</v>
      </c>
      <c r="D387" s="145">
        <v>194.285416</v>
      </c>
      <c r="E387" s="93">
        <f t="shared" si="60"/>
        <v>194.285416</v>
      </c>
      <c r="F387" s="382">
        <f t="shared" si="58"/>
        <v>1</v>
      </c>
      <c r="I387" s="549">
        <v>1096257.28</v>
      </c>
      <c r="J387" s="106">
        <f t="shared" si="61"/>
        <v>109.625728</v>
      </c>
      <c r="K387" s="549">
        <v>564397.92</v>
      </c>
      <c r="L387" s="17"/>
      <c r="M387" s="106">
        <f t="shared" si="62"/>
        <v>84.659688</v>
      </c>
      <c r="N387" s="214">
        <f t="shared" si="63"/>
        <v>1660655.2000000002</v>
      </c>
      <c r="O387" s="106">
        <f t="shared" si="59"/>
        <v>194.285416</v>
      </c>
      <c r="P387" s="504"/>
    </row>
    <row r="388" spans="1:16" ht="13.5" customHeight="1" thickBot="1">
      <c r="A388" s="393"/>
      <c r="B388" s="385" t="s">
        <v>56</v>
      </c>
      <c r="C388" s="394">
        <f>SUM(C380:C387)</f>
        <v>20431567.919999998</v>
      </c>
      <c r="D388" s="386">
        <f>SUM(D380:D387)</f>
        <v>2383.504904000001</v>
      </c>
      <c r="E388" s="386">
        <f>SUM(E380:E387)</f>
        <v>2383.504904000001</v>
      </c>
      <c r="F388" s="395">
        <f>E388/D388</f>
        <v>1</v>
      </c>
      <c r="I388" s="550">
        <f>SUM(I380:I387)</f>
        <v>13624605.68</v>
      </c>
      <c r="J388" s="551">
        <f>SUM(J380:J387)</f>
        <v>1362.460568</v>
      </c>
      <c r="K388" s="550">
        <f>SUM(K380:K387)</f>
        <v>6806962.240000001</v>
      </c>
      <c r="L388" s="208"/>
      <c r="M388" s="551">
        <f>SUM(M380:M387)</f>
        <v>1021.044336</v>
      </c>
      <c r="N388" s="550">
        <f>SUM(N380:N387)</f>
        <v>20431567.919999998</v>
      </c>
      <c r="O388" s="551">
        <f>SUM(O380:O387)</f>
        <v>2383.504904000001</v>
      </c>
      <c r="P388" s="513"/>
    </row>
    <row r="389" spans="1:12" ht="18.75" customHeight="1">
      <c r="A389" s="577" t="s">
        <v>282</v>
      </c>
      <c r="B389" s="577"/>
      <c r="C389" s="577"/>
      <c r="D389" s="577"/>
      <c r="E389" s="577"/>
      <c r="F389" s="577"/>
      <c r="G389" s="577"/>
      <c r="H389" s="577"/>
      <c r="I389" s="577"/>
      <c r="J389" s="577"/>
      <c r="K389" s="577"/>
      <c r="L389" s="577"/>
    </row>
    <row r="390" spans="2:15" ht="14.25" customHeight="1">
      <c r="B390" s="39"/>
      <c r="C390" s="39"/>
      <c r="D390" s="39"/>
      <c r="E390" s="295" t="s">
        <v>81</v>
      </c>
      <c r="F390" s="39"/>
      <c r="G390" s="39"/>
      <c r="H390" s="39"/>
      <c r="I390" s="659" t="s">
        <v>102</v>
      </c>
      <c r="J390" s="659"/>
      <c r="K390" s="659" t="s">
        <v>332</v>
      </c>
      <c r="L390" s="659"/>
      <c r="M390" s="659"/>
      <c r="N390" s="659" t="s">
        <v>56</v>
      </c>
      <c r="O390" s="659"/>
    </row>
    <row r="391" spans="1:16" ht="52.5" customHeight="1">
      <c r="A391" s="396" t="s">
        <v>1</v>
      </c>
      <c r="B391" s="396" t="s">
        <v>2</v>
      </c>
      <c r="C391" s="397" t="str">
        <f>C378</f>
        <v>No. of Meals served during 001.04.2019 to 31.03.19     </v>
      </c>
      <c r="D391" s="397" t="s">
        <v>333</v>
      </c>
      <c r="E391" s="397" t="s">
        <v>334</v>
      </c>
      <c r="F391" s="396" t="s">
        <v>335</v>
      </c>
      <c r="I391" s="553" t="s">
        <v>208</v>
      </c>
      <c r="J391" s="553" t="s">
        <v>331</v>
      </c>
      <c r="K391" s="555" t="s">
        <v>208</v>
      </c>
      <c r="M391" s="555" t="s">
        <v>331</v>
      </c>
      <c r="N391" s="553" t="s">
        <v>208</v>
      </c>
      <c r="O391" s="553" t="s">
        <v>331</v>
      </c>
      <c r="P391" s="135"/>
    </row>
    <row r="392" spans="1:16" s="15" customFormat="1" ht="12.75" customHeight="1">
      <c r="A392" s="276">
        <v>1</v>
      </c>
      <c r="B392" s="276">
        <v>2</v>
      </c>
      <c r="C392" s="277">
        <v>3</v>
      </c>
      <c r="D392" s="276">
        <v>4</v>
      </c>
      <c r="E392" s="277">
        <v>5</v>
      </c>
      <c r="F392" s="276">
        <v>6</v>
      </c>
      <c r="I392" s="17">
        <v>2445167.733007666</v>
      </c>
      <c r="J392" s="144">
        <f>I393*5.23/100000</f>
        <v>62.72103372769907</v>
      </c>
      <c r="K392" s="375">
        <v>1463448.9956428532</v>
      </c>
      <c r="L392" s="375"/>
      <c r="M392" s="144">
        <f>K392*7.04/100000</f>
        <v>103.02680929325686</v>
      </c>
      <c r="N392" s="17">
        <f>I392+K392</f>
        <v>3908616.7286505196</v>
      </c>
      <c r="O392" s="144">
        <f>J392+M392</f>
        <v>165.74784302095594</v>
      </c>
      <c r="P392" s="135"/>
    </row>
    <row r="393" spans="1:15" ht="13.5" customHeight="1">
      <c r="A393" s="356">
        <v>1</v>
      </c>
      <c r="B393" s="215" t="s">
        <v>131</v>
      </c>
      <c r="C393" s="17">
        <f>C380</f>
        <v>3908616.7286505196</v>
      </c>
      <c r="D393" s="109">
        <v>165.74784302095594</v>
      </c>
      <c r="E393" s="93">
        <f>D349</f>
        <v>135.78100889609436</v>
      </c>
      <c r="F393" s="382">
        <f aca="true" t="shared" si="64" ref="F393:F401">E393/D393</f>
        <v>0.819202267862558</v>
      </c>
      <c r="I393" s="17">
        <v>1199254.946992334</v>
      </c>
      <c r="J393" s="144">
        <f aca="true" t="shared" si="65" ref="J393:J399">I394*5.23/100000</f>
        <v>59.71185976800001</v>
      </c>
      <c r="K393" s="375">
        <v>758049.2443571474</v>
      </c>
      <c r="L393" s="375"/>
      <c r="M393" s="144">
        <f aca="true" t="shared" si="66" ref="M393:M399">K393*7.04/100000</f>
        <v>53.36666680274318</v>
      </c>
      <c r="N393" s="17">
        <f aca="true" t="shared" si="67" ref="N393:N399">I393+K393</f>
        <v>1957304.1913494812</v>
      </c>
      <c r="O393" s="144">
        <f aca="true" t="shared" si="68" ref="O393:O399">J393+M393</f>
        <v>113.0785265707432</v>
      </c>
    </row>
    <row r="394" spans="1:15" ht="13.5" customHeight="1">
      <c r="A394" s="356">
        <v>2</v>
      </c>
      <c r="B394" s="215" t="s">
        <v>132</v>
      </c>
      <c r="C394" s="17">
        <f aca="true" t="shared" si="69" ref="C394:C400">C381</f>
        <v>1957304.1913494812</v>
      </c>
      <c r="D394" s="109">
        <v>113.0785265707432</v>
      </c>
      <c r="E394" s="93">
        <f aca="true" t="shared" si="70" ref="E394:E400">D350</f>
        <v>69.86862864865591</v>
      </c>
      <c r="F394" s="382">
        <f t="shared" si="64"/>
        <v>0.6178770697453801</v>
      </c>
      <c r="I394" s="17">
        <v>1141718.1600000001</v>
      </c>
      <c r="J394" s="144">
        <f t="shared" si="65"/>
        <v>146.03562058400001</v>
      </c>
      <c r="K394" s="375">
        <v>577429.72</v>
      </c>
      <c r="L394" s="375"/>
      <c r="M394" s="144">
        <f t="shared" si="66"/>
        <v>40.651052287999995</v>
      </c>
      <c r="N394" s="17">
        <f t="shared" si="67"/>
        <v>1719147.8800000001</v>
      </c>
      <c r="O394" s="144">
        <f t="shared" si="68"/>
        <v>186.686672872</v>
      </c>
    </row>
    <row r="395" spans="1:15" ht="13.5" customHeight="1">
      <c r="A395" s="356">
        <v>3</v>
      </c>
      <c r="B395" s="215" t="s">
        <v>133</v>
      </c>
      <c r="C395" s="17">
        <f t="shared" si="69"/>
        <v>1719147.8800000001</v>
      </c>
      <c r="D395" s="109">
        <v>186.686672872</v>
      </c>
      <c r="E395" s="93">
        <f t="shared" si="70"/>
        <v>59.527822257723656</v>
      </c>
      <c r="F395" s="382">
        <f t="shared" si="64"/>
        <v>0.3188648731157063</v>
      </c>
      <c r="I395" s="17">
        <v>2792268.08</v>
      </c>
      <c r="J395" s="144">
        <f t="shared" si="65"/>
        <v>142.42340811600002</v>
      </c>
      <c r="K395" s="375">
        <v>1089116.24</v>
      </c>
      <c r="L395" s="375"/>
      <c r="M395" s="144">
        <f t="shared" si="66"/>
        <v>76.673783296</v>
      </c>
      <c r="N395" s="17">
        <f t="shared" si="67"/>
        <v>3881384.3200000003</v>
      </c>
      <c r="O395" s="144">
        <f t="shared" si="68"/>
        <v>219.09719141200003</v>
      </c>
    </row>
    <row r="396" spans="1:15" ht="13.5" customHeight="1">
      <c r="A396" s="356">
        <v>4</v>
      </c>
      <c r="B396" s="215" t="s">
        <v>134</v>
      </c>
      <c r="C396" s="17">
        <f t="shared" si="69"/>
        <v>3881384.3200000003</v>
      </c>
      <c r="D396" s="109">
        <v>219.09719141200003</v>
      </c>
      <c r="E396" s="93">
        <f t="shared" si="70"/>
        <v>132.2339368064527</v>
      </c>
      <c r="F396" s="382">
        <f t="shared" si="64"/>
        <v>0.6035400817064522</v>
      </c>
      <c r="I396" s="17">
        <v>2723200.92</v>
      </c>
      <c r="J396" s="144">
        <f t="shared" si="65"/>
        <v>86.21987837200001</v>
      </c>
      <c r="K396" s="375">
        <v>1296618.56</v>
      </c>
      <c r="L396" s="375"/>
      <c r="M396" s="144">
        <f t="shared" si="66"/>
        <v>91.281946624</v>
      </c>
      <c r="N396" s="17">
        <f t="shared" si="67"/>
        <v>4019819.48</v>
      </c>
      <c r="O396" s="144">
        <f t="shared" si="68"/>
        <v>177.501824996</v>
      </c>
    </row>
    <row r="397" spans="1:15" ht="13.5" customHeight="1">
      <c r="A397" s="356">
        <v>5</v>
      </c>
      <c r="B397" s="215" t="s">
        <v>135</v>
      </c>
      <c r="C397" s="17">
        <f t="shared" si="69"/>
        <v>4019819.48</v>
      </c>
      <c r="D397" s="109">
        <v>177.501824996</v>
      </c>
      <c r="E397" s="93">
        <f t="shared" si="70"/>
        <v>138.6514174029128</v>
      </c>
      <c r="F397" s="382">
        <f t="shared" si="64"/>
        <v>0.7811267146466653</v>
      </c>
      <c r="I397" s="17">
        <v>1648563.64</v>
      </c>
      <c r="J397" s="144">
        <f t="shared" si="65"/>
        <v>30.238548316000006</v>
      </c>
      <c r="K397" s="375">
        <v>646484.9199999999</v>
      </c>
      <c r="L397" s="375"/>
      <c r="M397" s="144">
        <f t="shared" si="66"/>
        <v>45.512538367999994</v>
      </c>
      <c r="N397" s="17">
        <f t="shared" si="67"/>
        <v>2295048.5599999996</v>
      </c>
      <c r="O397" s="144">
        <f t="shared" si="68"/>
        <v>75.751086684</v>
      </c>
    </row>
    <row r="398" spans="1:15" ht="13.5" customHeight="1">
      <c r="A398" s="356">
        <v>6</v>
      </c>
      <c r="B398" s="215" t="s">
        <v>136</v>
      </c>
      <c r="C398" s="17">
        <f t="shared" si="69"/>
        <v>2295048.5599999996</v>
      </c>
      <c r="D398" s="109">
        <v>75.751086684</v>
      </c>
      <c r="E398" s="93">
        <f t="shared" si="70"/>
        <v>78.21461021262262</v>
      </c>
      <c r="F398" s="382">
        <f t="shared" si="64"/>
        <v>1.0325212962145263</v>
      </c>
      <c r="I398" s="17">
        <v>578174.92</v>
      </c>
      <c r="J398" s="144">
        <f t="shared" si="65"/>
        <v>57.334255744000004</v>
      </c>
      <c r="K398" s="375">
        <v>411416.64</v>
      </c>
      <c r="L398" s="375"/>
      <c r="M398" s="144">
        <f t="shared" si="66"/>
        <v>28.963731455999998</v>
      </c>
      <c r="N398" s="17">
        <f t="shared" si="67"/>
        <v>989591.56</v>
      </c>
      <c r="O398" s="144">
        <f t="shared" si="68"/>
        <v>86.2979872</v>
      </c>
    </row>
    <row r="399" spans="1:15" ht="13.5" customHeight="1">
      <c r="A399" s="356">
        <v>7</v>
      </c>
      <c r="B399" s="215" t="s">
        <v>137</v>
      </c>
      <c r="C399" s="17">
        <f t="shared" si="69"/>
        <v>989591.56</v>
      </c>
      <c r="D399" s="109">
        <v>86.2979872</v>
      </c>
      <c r="E399" s="93">
        <f t="shared" si="70"/>
        <v>35.063098035465856</v>
      </c>
      <c r="F399" s="382">
        <f t="shared" si="64"/>
        <v>0.40630261693364106</v>
      </c>
      <c r="I399" s="17">
        <v>1096257.28</v>
      </c>
      <c r="J399" s="144">
        <f t="shared" si="65"/>
        <v>712.5668770640001</v>
      </c>
      <c r="K399" s="375">
        <v>564397.92</v>
      </c>
      <c r="L399" s="375"/>
      <c r="M399" s="144">
        <f t="shared" si="66"/>
        <v>39.733613568</v>
      </c>
      <c r="N399" s="17">
        <f t="shared" si="67"/>
        <v>1660655.2000000002</v>
      </c>
      <c r="O399" s="144">
        <f t="shared" si="68"/>
        <v>752.3004906320001</v>
      </c>
    </row>
    <row r="400" spans="1:15" ht="13.5" customHeight="1">
      <c r="A400" s="356">
        <v>8</v>
      </c>
      <c r="B400" s="215" t="s">
        <v>300</v>
      </c>
      <c r="C400" s="17">
        <f t="shared" si="69"/>
        <v>1660655.2000000002</v>
      </c>
      <c r="D400" s="109">
        <v>752.3004906320001</v>
      </c>
      <c r="E400" s="93">
        <f t="shared" si="70"/>
        <v>57.56915437607217</v>
      </c>
      <c r="F400" s="382">
        <f t="shared" si="64"/>
        <v>0.0765241483861175</v>
      </c>
      <c r="I400" s="138">
        <f>SUM(I392:I399)</f>
        <v>13624605.68</v>
      </c>
      <c r="J400" s="552">
        <f>SUM(J392:J399)</f>
        <v>1297.2514816916992</v>
      </c>
      <c r="K400" s="557">
        <f>SUM(K392:K399)</f>
        <v>6806962.240000001</v>
      </c>
      <c r="L400" s="556"/>
      <c r="M400" s="554">
        <f>SUM(M392:M399)</f>
        <v>479.210141696</v>
      </c>
      <c r="N400" s="138">
        <f>SUM(N392:N399)</f>
        <v>20431567.919999998</v>
      </c>
      <c r="O400" s="552">
        <f>SUM(O392:O399)</f>
        <v>1776.461623387699</v>
      </c>
    </row>
    <row r="401" spans="1:16" s="13" customFormat="1" ht="13.5" customHeight="1">
      <c r="A401" s="384"/>
      <c r="B401" s="385" t="s">
        <v>56</v>
      </c>
      <c r="C401" s="394">
        <f>SUM(C393:C400)</f>
        <v>20431567.919999998</v>
      </c>
      <c r="D401" s="386">
        <f>SUM(D393:D400)</f>
        <v>1776.461623387699</v>
      </c>
      <c r="E401" s="386">
        <f>SUM(E393:E400)</f>
        <v>706.9096766360001</v>
      </c>
      <c r="F401" s="395">
        <f t="shared" si="64"/>
        <v>0.3979312963079543</v>
      </c>
      <c r="N401" s="136"/>
      <c r="O401" s="4"/>
      <c r="P401" s="4"/>
    </row>
    <row r="402" spans="1:14" ht="12.75" customHeight="1">
      <c r="A402" s="54"/>
      <c r="B402" s="55"/>
      <c r="C402" s="146"/>
      <c r="D402" s="146"/>
      <c r="E402" s="147"/>
      <c r="F402" s="56"/>
      <c r="G402" s="155"/>
      <c r="N402" s="34"/>
    </row>
    <row r="403" spans="1:8" ht="12.75" customHeight="1">
      <c r="A403" s="54"/>
      <c r="B403" s="55"/>
      <c r="C403" s="146"/>
      <c r="D403" s="146"/>
      <c r="E403" s="147"/>
      <c r="F403" s="56"/>
      <c r="G403" s="57"/>
      <c r="H403" s="34"/>
    </row>
    <row r="404" spans="1:7" s="39" customFormat="1" ht="13.5" customHeight="1">
      <c r="A404" s="398" t="s">
        <v>165</v>
      </c>
      <c r="B404" s="399"/>
      <c r="C404" s="399"/>
      <c r="D404" s="110"/>
      <c r="E404" s="110"/>
      <c r="F404" s="110"/>
      <c r="G404" s="110"/>
    </row>
    <row r="405" spans="1:7" s="39" customFormat="1" ht="5.25" customHeight="1">
      <c r="A405" s="399"/>
      <c r="B405" s="399"/>
      <c r="C405" s="399"/>
      <c r="D405" s="110"/>
      <c r="E405" s="110"/>
      <c r="F405" s="110"/>
      <c r="G405" s="110"/>
    </row>
    <row r="406" spans="1:7" s="39" customFormat="1" ht="13.5" customHeight="1" thickBot="1">
      <c r="A406" s="399" t="s">
        <v>119</v>
      </c>
      <c r="B406" s="399"/>
      <c r="C406" s="399"/>
      <c r="D406" s="110"/>
      <c r="E406" s="110"/>
      <c r="F406" s="110"/>
      <c r="G406" s="110"/>
    </row>
    <row r="407" spans="1:19" s="39" customFormat="1" ht="46.5" customHeight="1">
      <c r="A407" s="400" t="s">
        <v>26</v>
      </c>
      <c r="B407" s="400" t="s">
        <v>27</v>
      </c>
      <c r="C407" s="400" t="str">
        <f>C347</f>
        <v>Allocation for 2019-20                                     </v>
      </c>
      <c r="D407" s="400" t="s">
        <v>316</v>
      </c>
      <c r="E407" s="400" t="s">
        <v>120</v>
      </c>
      <c r="F407" s="400" t="s">
        <v>121</v>
      </c>
      <c r="G407" s="156" t="s">
        <v>122</v>
      </c>
      <c r="I407" s="111" t="s">
        <v>200</v>
      </c>
      <c r="J407" s="112" t="s">
        <v>214</v>
      </c>
      <c r="K407" s="113" t="s">
        <v>3</v>
      </c>
      <c r="L407" s="505"/>
      <c r="M407" s="111" t="s">
        <v>200</v>
      </c>
      <c r="N407" s="112" t="s">
        <v>214</v>
      </c>
      <c r="O407" s="113" t="s">
        <v>3</v>
      </c>
      <c r="P407" s="505"/>
      <c r="Q407" s="111" t="s">
        <v>200</v>
      </c>
      <c r="R407" s="112" t="s">
        <v>214</v>
      </c>
      <c r="S407" s="113" t="s">
        <v>3</v>
      </c>
    </row>
    <row r="408" spans="1:19" s="39" customFormat="1" ht="15" customHeight="1">
      <c r="A408" s="400">
        <v>1</v>
      </c>
      <c r="B408" s="400">
        <v>2</v>
      </c>
      <c r="C408" s="400">
        <v>3</v>
      </c>
      <c r="D408" s="400">
        <v>4</v>
      </c>
      <c r="E408" s="400">
        <v>5</v>
      </c>
      <c r="F408" s="400">
        <v>6</v>
      </c>
      <c r="G408" s="157">
        <v>7</v>
      </c>
      <c r="I408" s="582" t="s">
        <v>229</v>
      </c>
      <c r="J408" s="583"/>
      <c r="K408" s="584"/>
      <c r="L408" s="466"/>
      <c r="M408" s="582" t="s">
        <v>230</v>
      </c>
      <c r="N408" s="583"/>
      <c r="O408" s="584"/>
      <c r="P408" s="466"/>
      <c r="Q408" s="582" t="s">
        <v>231</v>
      </c>
      <c r="R408" s="583"/>
      <c r="S408" s="584"/>
    </row>
    <row r="409" spans="1:19" s="39" customFormat="1" ht="13.5" customHeight="1">
      <c r="A409" s="401">
        <v>1</v>
      </c>
      <c r="B409" s="244" t="s">
        <v>131</v>
      </c>
      <c r="C409" s="109">
        <v>147.3</v>
      </c>
      <c r="D409" s="109">
        <v>5.553331962430976</v>
      </c>
      <c r="E409" s="109">
        <v>120.61578827652768</v>
      </c>
      <c r="F409" s="402">
        <f>D409+E409</f>
        <v>126.16912023895866</v>
      </c>
      <c r="G409" s="158">
        <f>F409/C409</f>
        <v>0.8565452833602081</v>
      </c>
      <c r="I409" s="114">
        <v>79.05</v>
      </c>
      <c r="J409" s="558">
        <v>68.25</v>
      </c>
      <c r="K409" s="115">
        <f>SUM(I409:J409)</f>
        <v>147.3</v>
      </c>
      <c r="L409" s="506"/>
      <c r="M409" s="134">
        <v>4.178174430067242</v>
      </c>
      <c r="N409" s="109">
        <v>1.375157532363734</v>
      </c>
      <c r="O409" s="115">
        <f>SUM(M409:N409)</f>
        <v>5.553331962430976</v>
      </c>
      <c r="P409" s="514"/>
      <c r="Q409" s="114">
        <v>64.55956864592017</v>
      </c>
      <c r="R409" s="109">
        <v>56.056219630607515</v>
      </c>
      <c r="S409" s="115">
        <f>SUM(Q409:R409)</f>
        <v>120.61578827652768</v>
      </c>
    </row>
    <row r="410" spans="1:19" s="39" customFormat="1" ht="13.5" customHeight="1">
      <c r="A410" s="401">
        <v>2</v>
      </c>
      <c r="B410" s="244" t="s">
        <v>132</v>
      </c>
      <c r="C410" s="109">
        <v>74.1</v>
      </c>
      <c r="D410" s="109">
        <v>2.8098649184512188</v>
      </c>
      <c r="E410" s="109">
        <v>62.027563273506004</v>
      </c>
      <c r="F410" s="402">
        <f aca="true" t="shared" si="71" ref="F410:F416">D410+E410</f>
        <v>64.83742819195723</v>
      </c>
      <c r="G410" s="158">
        <f aca="true" t="shared" si="72" ref="G410:G416">F410/C410</f>
        <v>0.8749990309305969</v>
      </c>
      <c r="I410" s="114">
        <v>37.35</v>
      </c>
      <c r="J410" s="558">
        <v>36.75</v>
      </c>
      <c r="K410" s="115">
        <f aca="true" t="shared" si="73" ref="K410:K416">SUM(I410:J410)</f>
        <v>74.1</v>
      </c>
      <c r="L410" s="506"/>
      <c r="M410" s="134">
        <v>2.0746131903720717</v>
      </c>
      <c r="N410" s="109">
        <v>0.7352517280791472</v>
      </c>
      <c r="O410" s="115">
        <f aca="true" t="shared" si="74" ref="O410:O416">SUM(M410:N410)</f>
        <v>2.8098649184512188</v>
      </c>
      <c r="P410" s="514"/>
      <c r="Q410" s="114">
        <v>32.056137176494495</v>
      </c>
      <c r="R410" s="109">
        <v>29.97142609701151</v>
      </c>
      <c r="S410" s="115">
        <f aca="true" t="shared" si="75" ref="S410:S416">SUM(Q410:R410)</f>
        <v>62.027563273506004</v>
      </c>
    </row>
    <row r="411" spans="1:19" s="39" customFormat="1" ht="13.5" customHeight="1">
      <c r="A411" s="401">
        <v>3</v>
      </c>
      <c r="B411" s="244" t="s">
        <v>133</v>
      </c>
      <c r="C411" s="109">
        <v>54</v>
      </c>
      <c r="D411" s="109">
        <v>2.507416598599703</v>
      </c>
      <c r="E411" s="109">
        <v>52.628592712658254</v>
      </c>
      <c r="F411" s="402">
        <f t="shared" si="71"/>
        <v>55.13600931125796</v>
      </c>
      <c r="G411" s="158">
        <f t="shared" si="72"/>
        <v>1.02103720946774</v>
      </c>
      <c r="I411" s="114">
        <v>30.6</v>
      </c>
      <c r="J411" s="558">
        <v>23.4</v>
      </c>
      <c r="K411" s="115">
        <f t="shared" si="73"/>
        <v>54</v>
      </c>
      <c r="L411" s="506"/>
      <c r="M411" s="134">
        <v>1.958862021152484</v>
      </c>
      <c r="N411" s="109">
        <v>0.5485545774472186</v>
      </c>
      <c r="O411" s="115">
        <f t="shared" si="74"/>
        <v>2.507416598599703</v>
      </c>
      <c r="P411" s="514"/>
      <c r="Q411" s="114">
        <v>30.267593955009794</v>
      </c>
      <c r="R411" s="109">
        <v>22.36099875764846</v>
      </c>
      <c r="S411" s="115">
        <f t="shared" si="75"/>
        <v>52.628592712658254</v>
      </c>
    </row>
    <row r="412" spans="1:19" s="39" customFormat="1" ht="13.5" customHeight="1">
      <c r="A412" s="401">
        <v>4</v>
      </c>
      <c r="B412" s="244" t="s">
        <v>134</v>
      </c>
      <c r="C412" s="109">
        <v>129.45</v>
      </c>
      <c r="D412" s="109">
        <v>5.825387432464017</v>
      </c>
      <c r="E412" s="109">
        <v>116.20069391884363</v>
      </c>
      <c r="F412" s="402">
        <f t="shared" si="71"/>
        <v>122.02608135130764</v>
      </c>
      <c r="G412" s="158">
        <f t="shared" si="72"/>
        <v>0.9426503001259764</v>
      </c>
      <c r="I412" s="114">
        <v>78.9</v>
      </c>
      <c r="J412" s="93">
        <v>50.55</v>
      </c>
      <c r="K412" s="115">
        <f t="shared" si="73"/>
        <v>129.45</v>
      </c>
      <c r="L412" s="506"/>
      <c r="M412" s="134">
        <v>4.790733901253147</v>
      </c>
      <c r="N412" s="109">
        <v>1.0346535312108696</v>
      </c>
      <c r="O412" s="115">
        <f t="shared" si="74"/>
        <v>5.825387432464017</v>
      </c>
      <c r="P412" s="514"/>
      <c r="Q412" s="114">
        <v>74.02460556375382</v>
      </c>
      <c r="R412" s="109">
        <v>42.176088355089796</v>
      </c>
      <c r="S412" s="115">
        <f t="shared" si="75"/>
        <v>116.20069391884363</v>
      </c>
    </row>
    <row r="413" spans="1:19" s="39" customFormat="1" ht="13.5" customHeight="1">
      <c r="A413" s="401">
        <v>5</v>
      </c>
      <c r="B413" s="244" t="s">
        <v>135</v>
      </c>
      <c r="C413" s="109">
        <v>153</v>
      </c>
      <c r="D413" s="109">
        <v>5.904013817617817</v>
      </c>
      <c r="E413" s="109">
        <v>122.40522360335905</v>
      </c>
      <c r="F413" s="402">
        <f t="shared" si="71"/>
        <v>128.30923742097687</v>
      </c>
      <c r="G413" s="158">
        <f t="shared" si="72"/>
        <v>0.8386224668037704</v>
      </c>
      <c r="I413" s="114">
        <v>92.55000000000001</v>
      </c>
      <c r="J413" s="93">
        <v>60.45</v>
      </c>
      <c r="K413" s="115">
        <f t="shared" si="73"/>
        <v>153</v>
      </c>
      <c r="L413" s="506"/>
      <c r="M413" s="134">
        <v>4.6722343964078705</v>
      </c>
      <c r="N413" s="109">
        <v>1.2317794212099462</v>
      </c>
      <c r="O413" s="115">
        <f t="shared" si="74"/>
        <v>5.904013817617817</v>
      </c>
      <c r="P413" s="514"/>
      <c r="Q413" s="114">
        <v>72.19359610122089</v>
      </c>
      <c r="R413" s="109">
        <v>50.211627502138164</v>
      </c>
      <c r="S413" s="115">
        <f t="shared" si="75"/>
        <v>122.40522360335905</v>
      </c>
    </row>
    <row r="414" spans="1:19" s="39" customFormat="1" ht="13.5" customHeight="1">
      <c r="A414" s="401">
        <v>6</v>
      </c>
      <c r="B414" s="244" t="s">
        <v>136</v>
      </c>
      <c r="C414" s="109">
        <v>82.8</v>
      </c>
      <c r="D414" s="109">
        <v>3.442620571523886</v>
      </c>
      <c r="E414" s="109">
        <v>68.73951950917007</v>
      </c>
      <c r="F414" s="402">
        <f t="shared" si="71"/>
        <v>72.18214008069396</v>
      </c>
      <c r="G414" s="158">
        <f t="shared" si="72"/>
        <v>0.8717649768199753</v>
      </c>
      <c r="I414" s="114">
        <v>50.25</v>
      </c>
      <c r="J414" s="93">
        <v>32.55</v>
      </c>
      <c r="K414" s="115">
        <f t="shared" si="73"/>
        <v>82.8</v>
      </c>
      <c r="L414" s="506"/>
      <c r="M414" s="134">
        <v>2.828463991366219</v>
      </c>
      <c r="N414" s="109">
        <v>0.6141565801576666</v>
      </c>
      <c r="O414" s="115">
        <f t="shared" si="74"/>
        <v>3.442620571523886</v>
      </c>
      <c r="P414" s="514"/>
      <c r="Q414" s="114">
        <v>43.704354202890954</v>
      </c>
      <c r="R414" s="109">
        <v>25.035165306279115</v>
      </c>
      <c r="S414" s="115">
        <f t="shared" si="75"/>
        <v>68.73951950917007</v>
      </c>
    </row>
    <row r="415" spans="1:19" s="39" customFormat="1" ht="13.5" customHeight="1">
      <c r="A415" s="401">
        <v>7</v>
      </c>
      <c r="B415" s="244" t="s">
        <v>137</v>
      </c>
      <c r="C415" s="109">
        <v>38.55</v>
      </c>
      <c r="D415" s="109">
        <v>1.3828261036224188</v>
      </c>
      <c r="E415" s="109">
        <v>31.25987682229026</v>
      </c>
      <c r="F415" s="402">
        <f t="shared" si="71"/>
        <v>32.64270292591268</v>
      </c>
      <c r="G415" s="158">
        <f t="shared" si="72"/>
        <v>0.8467627218135586</v>
      </c>
      <c r="I415" s="114">
        <v>17.4</v>
      </c>
      <c r="J415" s="93">
        <v>21.15</v>
      </c>
      <c r="K415" s="115">
        <f t="shared" si="73"/>
        <v>38.55</v>
      </c>
      <c r="L415" s="506"/>
      <c r="M415" s="134">
        <v>0.9919829009033856</v>
      </c>
      <c r="N415" s="109">
        <v>0.39084320271903306</v>
      </c>
      <c r="O415" s="115">
        <f t="shared" si="74"/>
        <v>1.3828261036224188</v>
      </c>
      <c r="P415" s="514"/>
      <c r="Q415" s="114">
        <v>15.327744032319034</v>
      </c>
      <c r="R415" s="109">
        <v>15.932132789971227</v>
      </c>
      <c r="S415" s="115">
        <f t="shared" si="75"/>
        <v>31.25987682229026</v>
      </c>
    </row>
    <row r="416" spans="1:19" s="39" customFormat="1" ht="13.5" customHeight="1" thickBot="1">
      <c r="A416" s="401">
        <v>8</v>
      </c>
      <c r="B416" s="244" t="s">
        <v>300</v>
      </c>
      <c r="C416" s="109">
        <v>54.900000000000006</v>
      </c>
      <c r="D416" s="109">
        <v>2.417038595289921</v>
      </c>
      <c r="E416" s="109">
        <v>50.91874188364504</v>
      </c>
      <c r="F416" s="402">
        <f t="shared" si="71"/>
        <v>53.335780478934964</v>
      </c>
      <c r="G416" s="158">
        <f t="shared" si="72"/>
        <v>0.9715078411463562</v>
      </c>
      <c r="I416" s="116">
        <v>37.2</v>
      </c>
      <c r="J416" s="154">
        <v>17.7</v>
      </c>
      <c r="K416" s="118">
        <f t="shared" si="73"/>
        <v>54.900000000000006</v>
      </c>
      <c r="L416" s="507"/>
      <c r="M416" s="134">
        <v>1.880864145319301</v>
      </c>
      <c r="N416" s="117">
        <v>0.53617444997062</v>
      </c>
      <c r="O416" s="118">
        <f t="shared" si="74"/>
        <v>2.417038595289921</v>
      </c>
      <c r="P416" s="515"/>
      <c r="Q416" s="116">
        <v>29.062400322390843</v>
      </c>
      <c r="R416" s="117">
        <v>21.8563415612542</v>
      </c>
      <c r="S416" s="118">
        <f t="shared" si="75"/>
        <v>50.91874188364504</v>
      </c>
    </row>
    <row r="417" spans="1:19" s="39" customFormat="1" ht="13.5" customHeight="1" thickBot="1">
      <c r="A417" s="403"/>
      <c r="B417" s="404" t="s">
        <v>3</v>
      </c>
      <c r="C417" s="405">
        <f>SUM(C409:C416)</f>
        <v>734.0999999999998</v>
      </c>
      <c r="D417" s="405">
        <f>SUM(D409:D416)</f>
        <v>29.842499999999955</v>
      </c>
      <c r="E417" s="405">
        <f>SUM(E409:E416)</f>
        <v>624.7959999999999</v>
      </c>
      <c r="F417" s="405">
        <f>SUM(F409:F416)</f>
        <v>654.6384999999998</v>
      </c>
      <c r="G417" s="159">
        <f>F417/C417</f>
        <v>0.8917565726740225</v>
      </c>
      <c r="I417" s="119">
        <f aca="true" t="shared" si="76" ref="I417:S417">SUM(I409:I416)</f>
        <v>423.3</v>
      </c>
      <c r="J417" s="119">
        <f t="shared" si="76"/>
        <v>310.79999999999995</v>
      </c>
      <c r="K417" s="119">
        <f t="shared" si="76"/>
        <v>734.0999999999998</v>
      </c>
      <c r="L417" s="508"/>
      <c r="M417" s="119">
        <f t="shared" si="76"/>
        <v>23.37592897684172</v>
      </c>
      <c r="N417" s="119">
        <f t="shared" si="76"/>
        <v>6.4665710231582345</v>
      </c>
      <c r="O417" s="119">
        <f t="shared" si="76"/>
        <v>29.842499999999955</v>
      </c>
      <c r="P417" s="508"/>
      <c r="Q417" s="119">
        <f t="shared" si="76"/>
        <v>361.196</v>
      </c>
      <c r="R417" s="119">
        <f t="shared" si="76"/>
        <v>263.59999999999997</v>
      </c>
      <c r="S417" s="119">
        <f t="shared" si="76"/>
        <v>624.7959999999999</v>
      </c>
    </row>
    <row r="418" spans="1:7" s="39" customFormat="1" ht="13.5" customHeight="1">
      <c r="A418" s="54"/>
      <c r="B418" s="55"/>
      <c r="C418" s="406"/>
      <c r="D418" s="406"/>
      <c r="E418" s="407"/>
      <c r="F418" s="56"/>
      <c r="G418" s="57"/>
    </row>
    <row r="419" spans="1:7" s="39" customFormat="1" ht="13.5" customHeight="1">
      <c r="A419" s="399" t="s">
        <v>123</v>
      </c>
      <c r="B419" s="399"/>
      <c r="C419" s="399"/>
      <c r="D419" s="399"/>
      <c r="E419" s="110"/>
      <c r="F419" s="110"/>
      <c r="G419" s="110"/>
    </row>
    <row r="420" spans="1:7" s="39" customFormat="1" ht="13.5" customHeight="1" thickBot="1">
      <c r="A420" s="399" t="s">
        <v>251</v>
      </c>
      <c r="B420" s="399"/>
      <c r="C420" s="399"/>
      <c r="D420" s="399"/>
      <c r="E420" s="110"/>
      <c r="F420" s="110"/>
      <c r="G420" s="110"/>
    </row>
    <row r="421" spans="1:12" s="39" customFormat="1" ht="38.25">
      <c r="A421" s="400" t="s">
        <v>26</v>
      </c>
      <c r="B421" s="400" t="s">
        <v>27</v>
      </c>
      <c r="C421" s="400" t="str">
        <f>C407</f>
        <v>Allocation for 2019-20                                     </v>
      </c>
      <c r="D421" s="400" t="s">
        <v>125</v>
      </c>
      <c r="E421" s="400" t="s">
        <v>126</v>
      </c>
      <c r="G421" s="408"/>
      <c r="I421" s="111" t="s">
        <v>200</v>
      </c>
      <c r="J421" s="112" t="s">
        <v>214</v>
      </c>
      <c r="K421" s="113" t="s">
        <v>3</v>
      </c>
      <c r="L421" s="97"/>
    </row>
    <row r="422" spans="1:12" s="39" customFormat="1" ht="12.75">
      <c r="A422" s="400">
        <v>1</v>
      </c>
      <c r="B422" s="400">
        <v>2</v>
      </c>
      <c r="C422" s="400">
        <v>3</v>
      </c>
      <c r="D422" s="400">
        <v>4</v>
      </c>
      <c r="E422" s="400">
        <v>5</v>
      </c>
      <c r="G422" s="408"/>
      <c r="I422" s="582" t="s">
        <v>228</v>
      </c>
      <c r="J422" s="583"/>
      <c r="K422" s="584"/>
      <c r="L422" s="509"/>
    </row>
    <row r="423" spans="1:12" s="39" customFormat="1" ht="13.5" customHeight="1">
      <c r="A423" s="401">
        <v>1</v>
      </c>
      <c r="B423" s="244" t="s">
        <v>131</v>
      </c>
      <c r="C423" s="409">
        <f>C409</f>
        <v>147.3</v>
      </c>
      <c r="D423" s="109">
        <v>111.55853489692275</v>
      </c>
      <c r="E423" s="160">
        <f>D423/C423</f>
        <v>0.7573559735025305</v>
      </c>
      <c r="F423" s="120"/>
      <c r="G423" s="120"/>
      <c r="I423" s="114">
        <v>59.58957073407045</v>
      </c>
      <c r="J423" s="109">
        <v>51.9689641628523</v>
      </c>
      <c r="K423" s="115">
        <f>SUM(I423:J423)</f>
        <v>111.55853489692275</v>
      </c>
      <c r="L423" s="510"/>
    </row>
    <row r="424" spans="1:12" s="39" customFormat="1" ht="13.5" customHeight="1">
      <c r="A424" s="401">
        <v>2</v>
      </c>
      <c r="B424" s="244" t="s">
        <v>132</v>
      </c>
      <c r="C424" s="409">
        <f aca="true" t="shared" si="77" ref="C424:C430">C410</f>
        <v>74.1</v>
      </c>
      <c r="D424" s="109">
        <v>57.374459639878964</v>
      </c>
      <c r="E424" s="160">
        <f aca="true" t="shared" si="78" ref="E424:E431">D424/C424</f>
        <v>0.7742842056663828</v>
      </c>
      <c r="F424" s="120"/>
      <c r="G424" s="120"/>
      <c r="I424" s="114">
        <v>29.588355278772468</v>
      </c>
      <c r="J424" s="109">
        <v>27.786104361106496</v>
      </c>
      <c r="K424" s="115">
        <f aca="true" t="shared" si="79" ref="K424:K430">SUM(I424:J424)</f>
        <v>57.374459639878964</v>
      </c>
      <c r="L424" s="510"/>
    </row>
    <row r="425" spans="1:12" s="39" customFormat="1" ht="13.5" customHeight="1">
      <c r="A425" s="401">
        <v>3</v>
      </c>
      <c r="B425" s="244" t="s">
        <v>133</v>
      </c>
      <c r="C425" s="409">
        <f t="shared" si="77"/>
        <v>54</v>
      </c>
      <c r="D425" s="109">
        <v>48.66807967540575</v>
      </c>
      <c r="E425" s="160">
        <f t="shared" si="78"/>
        <v>0.9012607347297361</v>
      </c>
      <c r="F425" s="120"/>
      <c r="G425" s="120"/>
      <c r="I425" s="114">
        <v>27.937499719434086</v>
      </c>
      <c r="J425" s="109">
        <v>20.730579955971663</v>
      </c>
      <c r="K425" s="115">
        <f t="shared" si="79"/>
        <v>48.66807967540575</v>
      </c>
      <c r="L425" s="510"/>
    </row>
    <row r="426" spans="1:12" s="39" customFormat="1" ht="13.5" customHeight="1">
      <c r="A426" s="401">
        <v>4</v>
      </c>
      <c r="B426" s="244" t="s">
        <v>134</v>
      </c>
      <c r="C426" s="409">
        <f t="shared" si="77"/>
        <v>129.45</v>
      </c>
      <c r="D426" s="109">
        <v>107.42684136114295</v>
      </c>
      <c r="E426" s="160">
        <f t="shared" si="78"/>
        <v>0.8298713121756891</v>
      </c>
      <c r="F426" s="120"/>
      <c r="G426" s="120"/>
      <c r="I426" s="114">
        <v>68.32595944833245</v>
      </c>
      <c r="J426" s="109">
        <v>39.10088191281049</v>
      </c>
      <c r="K426" s="115">
        <f t="shared" si="79"/>
        <v>107.42684136114295</v>
      </c>
      <c r="L426" s="510"/>
    </row>
    <row r="427" spans="1:12" s="39" customFormat="1" ht="13.5" customHeight="1">
      <c r="A427" s="401">
        <v>5</v>
      </c>
      <c r="B427" s="244" t="s">
        <v>135</v>
      </c>
      <c r="C427" s="409">
        <f t="shared" si="77"/>
        <v>153</v>
      </c>
      <c r="D427" s="109">
        <v>113.1864285658461</v>
      </c>
      <c r="E427" s="160">
        <f t="shared" si="78"/>
        <v>0.7397805788617392</v>
      </c>
      <c r="F427" s="120"/>
      <c r="G427" s="120"/>
      <c r="I427" s="114">
        <v>66.63590683226292</v>
      </c>
      <c r="J427" s="109">
        <v>46.55052173358318</v>
      </c>
      <c r="K427" s="115">
        <f t="shared" si="79"/>
        <v>113.1864285658461</v>
      </c>
      <c r="L427" s="510"/>
    </row>
    <row r="428" spans="1:14" s="39" customFormat="1" ht="13.5" customHeight="1">
      <c r="A428" s="401">
        <v>6</v>
      </c>
      <c r="B428" s="244" t="s">
        <v>136</v>
      </c>
      <c r="C428" s="409">
        <f t="shared" si="77"/>
        <v>82.8</v>
      </c>
      <c r="D428" s="109">
        <v>63.54961970292224</v>
      </c>
      <c r="E428" s="160">
        <f t="shared" si="78"/>
        <v>0.7675074843348098</v>
      </c>
      <c r="F428" s="120"/>
      <c r="G428" s="120"/>
      <c r="I428" s="114">
        <v>40.33985605516621</v>
      </c>
      <c r="J428" s="109">
        <v>23.209763647756034</v>
      </c>
      <c r="K428" s="115">
        <f t="shared" si="79"/>
        <v>63.54961970292224</v>
      </c>
      <c r="L428" s="510"/>
      <c r="N428" s="39" t="s">
        <v>105</v>
      </c>
    </row>
    <row r="429" spans="1:12" s="39" customFormat="1" ht="13.5" customHeight="1">
      <c r="A429" s="401">
        <v>7</v>
      </c>
      <c r="B429" s="244" t="s">
        <v>137</v>
      </c>
      <c r="C429" s="409">
        <f t="shared" si="77"/>
        <v>38.55</v>
      </c>
      <c r="D429" s="109">
        <v>28.918231403631047</v>
      </c>
      <c r="E429" s="160">
        <f t="shared" si="78"/>
        <v>0.7501486745429585</v>
      </c>
      <c r="F429" s="120"/>
      <c r="G429" s="120"/>
      <c r="I429" s="114">
        <v>14.147766262458173</v>
      </c>
      <c r="J429" s="109">
        <v>14.770465141172874</v>
      </c>
      <c r="K429" s="115">
        <f t="shared" si="79"/>
        <v>28.918231403631047</v>
      </c>
      <c r="L429" s="510"/>
    </row>
    <row r="430" spans="1:12" s="39" customFormat="1" ht="13.5" customHeight="1" thickBot="1">
      <c r="A430" s="401">
        <v>8</v>
      </c>
      <c r="B430" s="244" t="s">
        <v>300</v>
      </c>
      <c r="C430" s="409">
        <f t="shared" si="77"/>
        <v>54.900000000000006</v>
      </c>
      <c r="D430" s="109">
        <v>47.087804754250186</v>
      </c>
      <c r="E430" s="160">
        <f t="shared" si="78"/>
        <v>0.8577013616439013</v>
      </c>
      <c r="F430" s="120"/>
      <c r="G430" s="120"/>
      <c r="I430" s="116">
        <v>26.82508566950321</v>
      </c>
      <c r="J430" s="117">
        <v>20.262719084746973</v>
      </c>
      <c r="K430" s="118">
        <f t="shared" si="79"/>
        <v>47.087804754250186</v>
      </c>
      <c r="L430" s="510"/>
    </row>
    <row r="431" spans="1:12" s="39" customFormat="1" ht="13.5" customHeight="1" thickBot="1">
      <c r="A431" s="403"/>
      <c r="B431" s="404" t="s">
        <v>3</v>
      </c>
      <c r="C431" s="405">
        <f>SUM(C423:C430)</f>
        <v>734.0999999999998</v>
      </c>
      <c r="D431" s="405">
        <f>SUM(D423:D430)</f>
        <v>577.77</v>
      </c>
      <c r="E431" s="161">
        <f t="shared" si="78"/>
        <v>0.787045361667348</v>
      </c>
      <c r="F431" s="121"/>
      <c r="G431" s="121"/>
      <c r="I431" s="119">
        <f>SUM(I423:I430)</f>
        <v>333.39</v>
      </c>
      <c r="J431" s="119">
        <f>SUM(J423:J430)</f>
        <v>244.38000000000002</v>
      </c>
      <c r="K431" s="119">
        <f>SUM(K423:K430)</f>
        <v>577.77</v>
      </c>
      <c r="L431" s="510"/>
    </row>
    <row r="432" spans="1:7" s="39" customFormat="1" ht="13.5" customHeight="1">
      <c r="A432" s="122"/>
      <c r="B432" s="123"/>
      <c r="C432" s="410"/>
      <c r="D432" s="124"/>
      <c r="E432" s="411"/>
      <c r="F432" s="124"/>
      <c r="G432" s="121"/>
    </row>
    <row r="433" spans="1:7" s="39" customFormat="1" ht="13.5" customHeight="1">
      <c r="A433" s="399" t="s">
        <v>205</v>
      </c>
      <c r="B433" s="399"/>
      <c r="C433" s="399"/>
      <c r="D433" s="399"/>
      <c r="E433" s="110"/>
      <c r="F433" s="110"/>
      <c r="G433" s="110"/>
    </row>
    <row r="434" spans="1:7" s="39" customFormat="1" ht="13.5" customHeight="1" thickBot="1">
      <c r="A434" s="619" t="s">
        <v>251</v>
      </c>
      <c r="B434" s="619"/>
      <c r="C434" s="619"/>
      <c r="D434" s="619"/>
      <c r="E434" s="619"/>
      <c r="F434" s="619"/>
      <c r="G434" s="110"/>
    </row>
    <row r="435" spans="1:12" s="39" customFormat="1" ht="61.5" customHeight="1">
      <c r="A435" s="400" t="s">
        <v>26</v>
      </c>
      <c r="B435" s="400" t="s">
        <v>27</v>
      </c>
      <c r="C435" s="400" t="str">
        <f>C421</f>
        <v>Allocation for 2019-20                                     </v>
      </c>
      <c r="D435" s="400" t="s">
        <v>124</v>
      </c>
      <c r="E435" s="400" t="s">
        <v>252</v>
      </c>
      <c r="F435" s="156" t="s">
        <v>283</v>
      </c>
      <c r="G435" s="125"/>
      <c r="I435" s="111" t="s">
        <v>200</v>
      </c>
      <c r="J435" s="112" t="s">
        <v>214</v>
      </c>
      <c r="K435" s="113" t="s">
        <v>3</v>
      </c>
      <c r="L435" s="97"/>
    </row>
    <row r="436" spans="1:12" s="39" customFormat="1" ht="15.75" customHeight="1">
      <c r="A436" s="400">
        <v>1</v>
      </c>
      <c r="B436" s="400">
        <v>2</v>
      </c>
      <c r="C436" s="400">
        <v>3</v>
      </c>
      <c r="D436" s="400">
        <v>4</v>
      </c>
      <c r="E436" s="400">
        <v>5</v>
      </c>
      <c r="F436" s="157">
        <v>6</v>
      </c>
      <c r="G436" s="125"/>
      <c r="I436" s="582" t="s">
        <v>232</v>
      </c>
      <c r="J436" s="583"/>
      <c r="K436" s="584"/>
      <c r="L436" s="509"/>
    </row>
    <row r="437" spans="1:12" s="39" customFormat="1" ht="13.5" customHeight="1">
      <c r="A437" s="401">
        <v>1</v>
      </c>
      <c r="B437" s="244" t="s">
        <v>131</v>
      </c>
      <c r="C437" s="409">
        <f aca="true" t="shared" si="80" ref="C437:C444">C423</f>
        <v>147.3</v>
      </c>
      <c r="D437" s="412">
        <f aca="true" t="shared" si="81" ref="D437:D444">F409</f>
        <v>126.16912023895866</v>
      </c>
      <c r="E437" s="109">
        <v>14.610585342035911</v>
      </c>
      <c r="F437" s="158">
        <f>E437/C437</f>
        <v>0.0991893098576776</v>
      </c>
      <c r="G437" s="120"/>
      <c r="I437" s="114">
        <v>9.148172341916961</v>
      </c>
      <c r="J437" s="109">
        <v>5.46241300011895</v>
      </c>
      <c r="K437" s="115">
        <f>SUM(I437:J437)</f>
        <v>14.610585342035911</v>
      </c>
      <c r="L437" s="510"/>
    </row>
    <row r="438" spans="1:12" s="39" customFormat="1" ht="13.5" customHeight="1">
      <c r="A438" s="401">
        <v>2</v>
      </c>
      <c r="B438" s="244" t="s">
        <v>132</v>
      </c>
      <c r="C438" s="409">
        <f t="shared" si="80"/>
        <v>74.1</v>
      </c>
      <c r="D438" s="412">
        <f t="shared" si="81"/>
        <v>64.83742819195723</v>
      </c>
      <c r="E438" s="109">
        <v>7.462968552078259</v>
      </c>
      <c r="F438" s="158">
        <f aca="true" t="shared" si="82" ref="F438:F445">E438/C438</f>
        <v>0.10071482526421402</v>
      </c>
      <c r="G438" s="120"/>
      <c r="I438" s="114">
        <v>4.542395088094096</v>
      </c>
      <c r="J438" s="109">
        <v>2.9205734639841623</v>
      </c>
      <c r="K438" s="115">
        <f aca="true" t="shared" si="83" ref="K438:K444">SUM(I438:J438)</f>
        <v>7.462968552078259</v>
      </c>
      <c r="L438" s="510"/>
    </row>
    <row r="439" spans="1:12" s="39" customFormat="1" ht="13.5" customHeight="1">
      <c r="A439" s="401">
        <v>3</v>
      </c>
      <c r="B439" s="244" t="s">
        <v>133</v>
      </c>
      <c r="C439" s="409">
        <f t="shared" si="80"/>
        <v>54</v>
      </c>
      <c r="D439" s="412">
        <f t="shared" si="81"/>
        <v>55.13600931125796</v>
      </c>
      <c r="E439" s="109">
        <v>6.467929635852208</v>
      </c>
      <c r="F439" s="158">
        <f t="shared" si="82"/>
        <v>0.11977647473800385</v>
      </c>
      <c r="G439" s="120"/>
      <c r="I439" s="114">
        <v>4.288956256728191</v>
      </c>
      <c r="J439" s="109">
        <v>2.1789733791240167</v>
      </c>
      <c r="K439" s="115">
        <f t="shared" si="83"/>
        <v>6.467929635852208</v>
      </c>
      <c r="L439" s="510"/>
    </row>
    <row r="440" spans="1:12" s="39" customFormat="1" ht="13.5" customHeight="1">
      <c r="A440" s="401">
        <v>4</v>
      </c>
      <c r="B440" s="244" t="s">
        <v>134</v>
      </c>
      <c r="C440" s="409">
        <f t="shared" si="80"/>
        <v>129.45</v>
      </c>
      <c r="D440" s="412">
        <f t="shared" si="81"/>
        <v>122.02608135130764</v>
      </c>
      <c r="E440" s="109">
        <v>14.59923999016469</v>
      </c>
      <c r="F440" s="158">
        <f t="shared" si="82"/>
        <v>0.1127789879502873</v>
      </c>
      <c r="G440" s="120"/>
      <c r="I440" s="114">
        <v>10.489380016674517</v>
      </c>
      <c r="J440" s="109">
        <v>4.109859973490174</v>
      </c>
      <c r="K440" s="115">
        <f t="shared" si="83"/>
        <v>14.59923999016469</v>
      </c>
      <c r="L440" s="510"/>
    </row>
    <row r="441" spans="1:12" s="39" customFormat="1" ht="13.5" customHeight="1">
      <c r="A441" s="401">
        <v>5</v>
      </c>
      <c r="B441" s="244" t="s">
        <v>135</v>
      </c>
      <c r="C441" s="409">
        <f t="shared" si="80"/>
        <v>153</v>
      </c>
      <c r="D441" s="412">
        <f t="shared" si="81"/>
        <v>128.30923742097687</v>
      </c>
      <c r="E441" s="109">
        <v>15.12280885513077</v>
      </c>
      <c r="F441" s="158">
        <f t="shared" si="82"/>
        <v>0.09884188794203118</v>
      </c>
      <c r="G441" s="120"/>
      <c r="I441" s="114">
        <v>10.229923665365845</v>
      </c>
      <c r="J441" s="109">
        <v>4.892885189764925</v>
      </c>
      <c r="K441" s="115">
        <f t="shared" si="83"/>
        <v>15.12280885513077</v>
      </c>
      <c r="L441" s="510"/>
    </row>
    <row r="442" spans="1:12" s="39" customFormat="1" ht="13.5" customHeight="1">
      <c r="A442" s="401">
        <v>6</v>
      </c>
      <c r="B442" s="244" t="s">
        <v>136</v>
      </c>
      <c r="C442" s="409">
        <f t="shared" si="80"/>
        <v>82.8</v>
      </c>
      <c r="D442" s="412">
        <f t="shared" si="81"/>
        <v>72.18214008069396</v>
      </c>
      <c r="E442" s="109">
        <v>8.632520377771712</v>
      </c>
      <c r="F442" s="158">
        <f t="shared" si="82"/>
        <v>0.10425749248516561</v>
      </c>
      <c r="G442" s="130"/>
      <c r="I442" s="114">
        <v>6.192962139090966</v>
      </c>
      <c r="J442" s="109">
        <v>2.439558238680746</v>
      </c>
      <c r="K442" s="115">
        <f t="shared" si="83"/>
        <v>8.632520377771712</v>
      </c>
      <c r="L442" s="510"/>
    </row>
    <row r="443" spans="1:12" s="39" customFormat="1" ht="13.5" customHeight="1">
      <c r="A443" s="401">
        <v>7</v>
      </c>
      <c r="B443" s="244" t="s">
        <v>137</v>
      </c>
      <c r="C443" s="409">
        <f t="shared" si="80"/>
        <v>38.55</v>
      </c>
      <c r="D443" s="412">
        <f t="shared" si="81"/>
        <v>32.64270292591268</v>
      </c>
      <c r="E443" s="109">
        <v>3.7244715222816325</v>
      </c>
      <c r="F443" s="158">
        <f t="shared" si="82"/>
        <v>0.09661404727060006</v>
      </c>
      <c r="G443" s="120"/>
      <c r="I443" s="114">
        <v>2.1719606707642463</v>
      </c>
      <c r="J443" s="109">
        <v>1.5525108515173862</v>
      </c>
      <c r="K443" s="115">
        <f t="shared" si="83"/>
        <v>3.7244715222816325</v>
      </c>
      <c r="L443" s="510"/>
    </row>
    <row r="444" spans="1:12" s="39" customFormat="1" ht="13.5" customHeight="1" thickBot="1">
      <c r="A444" s="401">
        <v>8</v>
      </c>
      <c r="B444" s="244" t="s">
        <v>300</v>
      </c>
      <c r="C444" s="409">
        <f t="shared" si="80"/>
        <v>54.900000000000006</v>
      </c>
      <c r="D444" s="412">
        <f t="shared" si="81"/>
        <v>53.335780478934964</v>
      </c>
      <c r="E444" s="109">
        <v>6.247975724684782</v>
      </c>
      <c r="F444" s="158">
        <f t="shared" si="82"/>
        <v>0.11380647950245502</v>
      </c>
      <c r="G444" s="120"/>
      <c r="I444" s="116">
        <v>4.118178798206934</v>
      </c>
      <c r="J444" s="117">
        <v>2.129796926477848</v>
      </c>
      <c r="K444" s="118">
        <f t="shared" si="83"/>
        <v>6.247975724684782</v>
      </c>
      <c r="L444" s="510"/>
    </row>
    <row r="445" spans="1:12" s="39" customFormat="1" ht="13.5" customHeight="1" thickBot="1">
      <c r="A445" s="403"/>
      <c r="B445" s="404" t="s">
        <v>3</v>
      </c>
      <c r="C445" s="405">
        <f>SUM(C437:C444)</f>
        <v>734.0999999999998</v>
      </c>
      <c r="D445" s="405">
        <f>SUM(D437:D444)</f>
        <v>654.6384999999998</v>
      </c>
      <c r="E445" s="405">
        <f>SUM(E437:E444)</f>
        <v>76.86849999999997</v>
      </c>
      <c r="F445" s="159">
        <f t="shared" si="82"/>
        <v>0.10471121100667483</v>
      </c>
      <c r="G445" s="121"/>
      <c r="I445" s="119">
        <f>SUM(I437:I444)</f>
        <v>51.18192897684175</v>
      </c>
      <c r="J445" s="119">
        <f>SUM(J437:J444)</f>
        <v>25.68657102315821</v>
      </c>
      <c r="K445" s="119">
        <f>SUM(K437:K444)</f>
        <v>76.86849999999997</v>
      </c>
      <c r="L445" s="510"/>
    </row>
    <row r="446" spans="1:7" s="39" customFormat="1" ht="13.5" customHeight="1">
      <c r="A446" s="122"/>
      <c r="B446" s="123"/>
      <c r="C446" s="126"/>
      <c r="D446" s="124"/>
      <c r="E446" s="127"/>
      <c r="F446" s="121"/>
      <c r="G446" s="121"/>
    </row>
    <row r="447" spans="1:7" s="39" customFormat="1" ht="13.5" customHeight="1">
      <c r="A447" s="122"/>
      <c r="B447" s="123"/>
      <c r="C447" s="126"/>
      <c r="D447" s="124"/>
      <c r="E447" s="127"/>
      <c r="F447" s="121"/>
      <c r="G447" s="121"/>
    </row>
    <row r="448" spans="1:15" s="39" customFormat="1" ht="15.75">
      <c r="A448" s="170" t="s">
        <v>157</v>
      </c>
      <c r="B448" s="128"/>
      <c r="C448" s="128"/>
      <c r="D448" s="128"/>
      <c r="E448" s="128"/>
      <c r="O448" s="39" t="s">
        <v>105</v>
      </c>
    </row>
    <row r="449" s="39" customFormat="1" ht="6.75" customHeight="1">
      <c r="A449" s="162"/>
    </row>
    <row r="450" spans="1:13" s="39" customFormat="1" ht="12.75" hidden="1">
      <c r="A450" s="162"/>
      <c r="J450" s="39">
        <v>14.728805012224939</v>
      </c>
      <c r="M450" s="39">
        <f>J450+K450</f>
        <v>14.728805012224939</v>
      </c>
    </row>
    <row r="451" spans="2:13" s="39" customFormat="1" ht="12.75" hidden="1">
      <c r="B451" s="39" t="s">
        <v>39</v>
      </c>
      <c r="J451" s="39">
        <v>17.64803636919316</v>
      </c>
      <c r="M451" s="39">
        <f>J451+K451</f>
        <v>17.64803636919316</v>
      </c>
    </row>
    <row r="452" spans="10:13" s="39" customFormat="1" ht="12.75" hidden="1">
      <c r="J452" s="39">
        <v>3.8363065403422993</v>
      </c>
      <c r="M452" s="39">
        <f>J452+K452</f>
        <v>3.8363065403422993</v>
      </c>
    </row>
    <row r="453" spans="2:13" s="39" customFormat="1" ht="12.75" hidden="1">
      <c r="B453" s="39" t="s">
        <v>40</v>
      </c>
      <c r="E453" s="50">
        <f>8581264*220*1.5/10000000</f>
        <v>283.181712</v>
      </c>
      <c r="J453" s="39">
        <v>12.920631112469437</v>
      </c>
      <c r="M453" s="39">
        <f>J453+K453</f>
        <v>12.920631112469437</v>
      </c>
    </row>
    <row r="454" spans="2:13" s="39" customFormat="1" ht="12.75" hidden="1">
      <c r="B454" s="39" t="s">
        <v>41</v>
      </c>
      <c r="E454" s="50">
        <f>8581264*220*1/10000000</f>
        <v>188.787808</v>
      </c>
      <c r="J454" s="39">
        <v>96.83999999999995</v>
      </c>
      <c r="K454" s="39">
        <f>SUM(K445:K453)</f>
        <v>76.86849999999997</v>
      </c>
      <c r="M454" s="39">
        <f>SUM(M445:M453)</f>
        <v>49.13377903422984</v>
      </c>
    </row>
    <row r="455" spans="2:5" s="39" customFormat="1" ht="12.75" hidden="1">
      <c r="B455" s="38" t="s">
        <v>3</v>
      </c>
      <c r="E455" s="65">
        <f>E454+E453</f>
        <v>471.96952</v>
      </c>
    </row>
    <row r="456" spans="2:5" s="39" customFormat="1" ht="12.75" hidden="1">
      <c r="B456" s="39" t="s">
        <v>42</v>
      </c>
      <c r="E456" s="50">
        <v>477.18</v>
      </c>
    </row>
    <row r="457" spans="2:5" s="39" customFormat="1" ht="12.75" hidden="1">
      <c r="B457" s="38" t="s">
        <v>43</v>
      </c>
      <c r="E457" s="65">
        <f>E456-E455</f>
        <v>5.210480000000018</v>
      </c>
    </row>
    <row r="458" s="39" customFormat="1" ht="12.75" hidden="1">
      <c r="C458" s="50"/>
    </row>
    <row r="459" s="39" customFormat="1" ht="12.75" hidden="1">
      <c r="C459" s="50"/>
    </row>
    <row r="460" s="39" customFormat="1" ht="12.75" hidden="1">
      <c r="C460" s="50"/>
    </row>
    <row r="461" spans="1:3" s="39" customFormat="1" ht="12.75">
      <c r="A461" s="38" t="s">
        <v>89</v>
      </c>
      <c r="C461" s="50"/>
    </row>
    <row r="462" s="39" customFormat="1" ht="5.25" customHeight="1">
      <c r="C462" s="50"/>
    </row>
    <row r="463" spans="1:4" s="39" customFormat="1" ht="12.75">
      <c r="A463" s="618" t="s">
        <v>284</v>
      </c>
      <c r="B463" s="618"/>
      <c r="C463" s="618"/>
      <c r="D463" s="618"/>
    </row>
    <row r="464" spans="1:6" s="39" customFormat="1" ht="27" customHeight="1">
      <c r="A464" s="414" t="s">
        <v>16</v>
      </c>
      <c r="B464" s="414" t="s">
        <v>8</v>
      </c>
      <c r="C464" s="414" t="s">
        <v>9</v>
      </c>
      <c r="D464" s="414" t="s">
        <v>59</v>
      </c>
      <c r="F464" s="129"/>
    </row>
    <row r="465" spans="1:6" s="39" customFormat="1" ht="15" customHeight="1" hidden="1">
      <c r="A465" s="415"/>
      <c r="B465" s="416" t="s">
        <v>60</v>
      </c>
      <c r="C465" s="415"/>
      <c r="D465" s="417"/>
      <c r="F465" s="129"/>
    </row>
    <row r="466" spans="1:7" s="39" customFormat="1" ht="26.25" customHeight="1">
      <c r="A466" s="655" t="s">
        <v>69</v>
      </c>
      <c r="B466" s="560" t="s">
        <v>298</v>
      </c>
      <c r="C466" s="464" t="str">
        <f>C269</f>
        <v>01.04.2019</v>
      </c>
      <c r="D466" s="559">
        <v>0</v>
      </c>
      <c r="F466" s="129"/>
      <c r="G466" s="39" t="s">
        <v>105</v>
      </c>
    </row>
    <row r="467" spans="1:6" s="39" customFormat="1" ht="15" customHeight="1">
      <c r="A467" s="656"/>
      <c r="B467" s="560" t="s">
        <v>68</v>
      </c>
      <c r="C467" s="464" t="str">
        <f>C270</f>
        <v>01.05.2019</v>
      </c>
      <c r="D467" s="245">
        <v>7.99</v>
      </c>
      <c r="F467" s="129"/>
    </row>
    <row r="468" spans="1:6" s="39" customFormat="1" ht="34.5" customHeight="1">
      <c r="A468" s="656"/>
      <c r="B468" s="560" t="s">
        <v>118</v>
      </c>
      <c r="C468" s="464" t="str">
        <f>C271</f>
        <v>09.09.2019</v>
      </c>
      <c r="D468" s="245">
        <v>21.92</v>
      </c>
      <c r="F468" s="129"/>
    </row>
    <row r="469" spans="1:6" s="39" customFormat="1" ht="34.5" customHeight="1">
      <c r="A469" s="657"/>
      <c r="B469" s="560" t="s">
        <v>7</v>
      </c>
      <c r="C469" s="464" t="str">
        <f>C272</f>
        <v>23.12.2019</v>
      </c>
      <c r="D469" s="245">
        <v>19.95</v>
      </c>
      <c r="F469" s="129"/>
    </row>
    <row r="470" spans="1:4" s="39" customFormat="1" ht="12.75">
      <c r="A470" s="594" t="s">
        <v>3</v>
      </c>
      <c r="B470" s="595"/>
      <c r="C470" s="596"/>
      <c r="D470" s="413">
        <f>SUM(D466:D469)</f>
        <v>49.86</v>
      </c>
    </row>
    <row r="471" s="39" customFormat="1" ht="7.5" customHeight="1"/>
    <row r="472" s="39" customFormat="1" ht="12.75">
      <c r="A472" s="38" t="s">
        <v>158</v>
      </c>
    </row>
    <row r="473" spans="1:6" s="39" customFormat="1" ht="30" customHeight="1">
      <c r="A473" s="419" t="s">
        <v>32</v>
      </c>
      <c r="B473" s="419"/>
      <c r="C473" s="420" t="s">
        <v>51</v>
      </c>
      <c r="D473" s="420" t="s">
        <v>52</v>
      </c>
      <c r="E473" s="420" t="s">
        <v>30</v>
      </c>
      <c r="F473" s="420" t="s">
        <v>31</v>
      </c>
    </row>
    <row r="474" spans="1:6" s="40" customFormat="1" ht="13.5" customHeight="1">
      <c r="A474" s="421">
        <v>1</v>
      </c>
      <c r="B474" s="421">
        <v>2</v>
      </c>
      <c r="C474" s="421">
        <v>3</v>
      </c>
      <c r="D474" s="421">
        <v>4</v>
      </c>
      <c r="E474" s="421" t="s">
        <v>57</v>
      </c>
      <c r="F474" s="421">
        <v>6</v>
      </c>
    </row>
    <row r="475" spans="1:7" s="39" customFormat="1" ht="27" customHeight="1">
      <c r="A475" s="418">
        <v>1</v>
      </c>
      <c r="B475" s="422" t="s">
        <v>271</v>
      </c>
      <c r="C475" s="143">
        <v>49.22</v>
      </c>
      <c r="D475" s="143">
        <v>49.22</v>
      </c>
      <c r="E475" s="143">
        <f>D475-C475</f>
        <v>0</v>
      </c>
      <c r="F475" s="160">
        <f>E475/C475</f>
        <v>0</v>
      </c>
      <c r="G475" s="423"/>
    </row>
    <row r="476" spans="1:6" s="39" customFormat="1" ht="25.5">
      <c r="A476" s="418">
        <v>2</v>
      </c>
      <c r="B476" s="422" t="s">
        <v>316</v>
      </c>
      <c r="C476" s="143">
        <v>0</v>
      </c>
      <c r="D476" s="143">
        <v>0</v>
      </c>
      <c r="E476" s="143">
        <f>D476-C476</f>
        <v>0</v>
      </c>
      <c r="F476" s="160">
        <v>0</v>
      </c>
    </row>
    <row r="477" spans="1:6" s="39" customFormat="1" ht="25.5">
      <c r="A477" s="418">
        <v>3</v>
      </c>
      <c r="B477" s="422" t="s">
        <v>285</v>
      </c>
      <c r="C477" s="143">
        <v>49.86</v>
      </c>
      <c r="D477" s="143">
        <v>49.86</v>
      </c>
      <c r="E477" s="143">
        <f>D477-C477</f>
        <v>0</v>
      </c>
      <c r="F477" s="160">
        <f>E477/C477</f>
        <v>0</v>
      </c>
    </row>
    <row r="478" spans="1:6" s="39" customFormat="1" ht="15.75" customHeight="1">
      <c r="A478" s="418">
        <v>4</v>
      </c>
      <c r="B478" s="424" t="s">
        <v>67</v>
      </c>
      <c r="C478" s="425">
        <f>C476+C477</f>
        <v>49.86</v>
      </c>
      <c r="D478" s="425">
        <f>D476+D477</f>
        <v>49.86</v>
      </c>
      <c r="E478" s="425">
        <f>D478-C478</f>
        <v>0</v>
      </c>
      <c r="F478" s="161">
        <f>E478/C478</f>
        <v>0</v>
      </c>
    </row>
    <row r="479" spans="1:6" s="39" customFormat="1" ht="15.75" customHeight="1">
      <c r="A479" s="608"/>
      <c r="B479" s="608"/>
      <c r="C479" s="608"/>
      <c r="D479" s="608"/>
      <c r="E479" s="608"/>
      <c r="F479" s="426"/>
    </row>
    <row r="480" spans="1:5" s="88" customFormat="1" ht="12.75">
      <c r="A480" s="575" t="s">
        <v>286</v>
      </c>
      <c r="B480" s="575"/>
      <c r="C480" s="575"/>
      <c r="D480" s="575"/>
      <c r="E480" s="575"/>
    </row>
    <row r="481" spans="4:7" s="88" customFormat="1" ht="12.75">
      <c r="D481" s="427" t="s">
        <v>10</v>
      </c>
      <c r="E481" s="654" t="s">
        <v>253</v>
      </c>
      <c r="F481" s="654"/>
      <c r="G481" s="654"/>
    </row>
    <row r="482" spans="1:7" s="88" customFormat="1" ht="25.5">
      <c r="A482" s="172" t="s">
        <v>32</v>
      </c>
      <c r="B482" s="172" t="s">
        <v>61</v>
      </c>
      <c r="C482" s="172" t="s">
        <v>287</v>
      </c>
      <c r="D482" s="172" t="s">
        <v>35</v>
      </c>
      <c r="E482" s="172" t="s">
        <v>62</v>
      </c>
      <c r="F482" s="172" t="s">
        <v>63</v>
      </c>
      <c r="G482" s="172" t="s">
        <v>206</v>
      </c>
    </row>
    <row r="483" spans="1:7" s="88" customFormat="1" ht="12.75">
      <c r="A483" s="163">
        <v>1</v>
      </c>
      <c r="B483" s="163">
        <v>2</v>
      </c>
      <c r="C483" s="163">
        <v>3</v>
      </c>
      <c r="D483" s="163">
        <v>4</v>
      </c>
      <c r="E483" s="163">
        <v>5</v>
      </c>
      <c r="F483" s="163">
        <v>6</v>
      </c>
      <c r="G483" s="163">
        <v>7</v>
      </c>
    </row>
    <row r="484" spans="1:7" s="88" customFormat="1" ht="25.5">
      <c r="A484" s="428">
        <v>1</v>
      </c>
      <c r="B484" s="429" t="s">
        <v>66</v>
      </c>
      <c r="C484" s="430">
        <v>24.93</v>
      </c>
      <c r="D484" s="430">
        <v>24.93</v>
      </c>
      <c r="E484" s="568">
        <v>24.52</v>
      </c>
      <c r="F484" s="431">
        <f>E484/D484</f>
        <v>0.9835539510629763</v>
      </c>
      <c r="G484" s="432">
        <f>D484-E484</f>
        <v>0.41000000000000014</v>
      </c>
    </row>
    <row r="485" spans="1:7" s="88" customFormat="1" ht="66.75" customHeight="1">
      <c r="A485" s="428">
        <v>2</v>
      </c>
      <c r="B485" s="429" t="s">
        <v>64</v>
      </c>
      <c r="C485" s="661">
        <v>24.93</v>
      </c>
      <c r="D485" s="661">
        <v>24.93</v>
      </c>
      <c r="E485" s="639">
        <v>21.81</v>
      </c>
      <c r="F485" s="641">
        <f>E485/C485</f>
        <v>0.8748495788206979</v>
      </c>
      <c r="G485" s="643">
        <f>D485-E485</f>
        <v>3.120000000000001</v>
      </c>
    </row>
    <row r="486" spans="1:7" s="88" customFormat="1" ht="25.5">
      <c r="A486" s="428">
        <v>3</v>
      </c>
      <c r="B486" s="429" t="s">
        <v>65</v>
      </c>
      <c r="C486" s="662"/>
      <c r="D486" s="662"/>
      <c r="E486" s="640"/>
      <c r="F486" s="642"/>
      <c r="G486" s="644"/>
    </row>
    <row r="487" spans="1:7" s="88" customFormat="1" ht="12.75">
      <c r="A487" s="627" t="s">
        <v>3</v>
      </c>
      <c r="B487" s="628"/>
      <c r="C487" s="432">
        <f>SUM(C484:C486)</f>
        <v>49.86</v>
      </c>
      <c r="D487" s="432">
        <f>D484+D485</f>
        <v>49.86</v>
      </c>
      <c r="E487" s="432">
        <f>E485+E484</f>
        <v>46.33</v>
      </c>
      <c r="F487" s="431">
        <f>E487/C487</f>
        <v>0.9292017649418371</v>
      </c>
      <c r="G487" s="432">
        <f>G484+G485</f>
        <v>3.530000000000001</v>
      </c>
    </row>
    <row r="488" s="88" customFormat="1" ht="12.75" customHeight="1"/>
    <row r="489" spans="1:7" ht="18">
      <c r="A489" s="433" t="s">
        <v>159</v>
      </c>
      <c r="B489" s="434"/>
      <c r="C489" s="434"/>
      <c r="D489" s="434"/>
      <c r="E489" s="434"/>
      <c r="F489" s="81"/>
      <c r="G489" s="81"/>
    </row>
    <row r="490" ht="6.75" customHeight="1">
      <c r="A490" s="58"/>
    </row>
    <row r="491" spans="1:9" ht="12.75" hidden="1">
      <c r="A491" s="58"/>
      <c r="I491" s="4">
        <f>79.16+23.01</f>
        <v>102.17</v>
      </c>
    </row>
    <row r="492" spans="1:9" ht="12.75" hidden="1">
      <c r="A492" s="39"/>
      <c r="B492" s="39" t="s">
        <v>39</v>
      </c>
      <c r="C492" s="39"/>
      <c r="D492" s="39"/>
      <c r="E492" s="39"/>
      <c r="F492" s="39"/>
      <c r="G492" s="39"/>
      <c r="I492" s="4">
        <f>32.78-19.23</f>
        <v>13.55</v>
      </c>
    </row>
    <row r="493" spans="1:7" ht="12.75" hidden="1">
      <c r="A493" s="39"/>
      <c r="B493" s="39"/>
      <c r="C493" s="39"/>
      <c r="D493" s="39"/>
      <c r="E493" s="39"/>
      <c r="F493" s="39"/>
      <c r="G493" s="39"/>
    </row>
    <row r="494" spans="1:7" ht="12.75" hidden="1">
      <c r="A494" s="39"/>
      <c r="B494" s="39" t="s">
        <v>40</v>
      </c>
      <c r="E494" s="50">
        <f>8581264*220*1.5/10000000</f>
        <v>283.181712</v>
      </c>
      <c r="F494" s="39"/>
      <c r="G494" s="39"/>
    </row>
    <row r="495" spans="1:7" ht="12.75" hidden="1">
      <c r="A495" s="39"/>
      <c r="B495" s="39" t="s">
        <v>41</v>
      </c>
      <c r="E495" s="50">
        <f>8581264*220*1/10000000</f>
        <v>188.787808</v>
      </c>
      <c r="F495" s="39"/>
      <c r="G495" s="39"/>
    </row>
    <row r="496" spans="1:7" ht="12.75" hidden="1">
      <c r="A496" s="39"/>
      <c r="B496" s="38" t="s">
        <v>3</v>
      </c>
      <c r="E496" s="65">
        <f>E495+E494</f>
        <v>471.96952</v>
      </c>
      <c r="F496" s="39"/>
      <c r="G496" s="39"/>
    </row>
    <row r="497" spans="1:7" ht="12.75" hidden="1">
      <c r="A497" s="39"/>
      <c r="B497" s="39" t="s">
        <v>42</v>
      </c>
      <c r="E497" s="50">
        <v>477.18</v>
      </c>
      <c r="F497" s="39"/>
      <c r="G497" s="39"/>
    </row>
    <row r="498" spans="1:7" ht="12.75" hidden="1">
      <c r="A498" s="39"/>
      <c r="B498" s="38" t="s">
        <v>43</v>
      </c>
      <c r="E498" s="65">
        <f>E497-E496</f>
        <v>5.210480000000018</v>
      </c>
      <c r="F498" s="39"/>
      <c r="G498" s="39"/>
    </row>
    <row r="499" spans="1:10" ht="12.75" hidden="1">
      <c r="A499" s="39"/>
      <c r="B499" s="39"/>
      <c r="C499" s="50"/>
      <c r="D499" s="39"/>
      <c r="E499" s="39"/>
      <c r="F499" s="39"/>
      <c r="G499" s="39"/>
      <c r="I499" s="4">
        <v>73269480</v>
      </c>
      <c r="J499" s="4">
        <f>I499/100000</f>
        <v>732.6948</v>
      </c>
    </row>
    <row r="500" spans="1:7" ht="12.75" hidden="1">
      <c r="A500" s="39"/>
      <c r="B500" s="39"/>
      <c r="C500" s="50"/>
      <c r="D500" s="39"/>
      <c r="E500" s="39"/>
      <c r="F500" s="39"/>
      <c r="G500" s="39"/>
    </row>
    <row r="501" spans="1:7" ht="12.75" hidden="1">
      <c r="A501" s="39"/>
      <c r="B501" s="39"/>
      <c r="C501" s="50"/>
      <c r="D501" s="39"/>
      <c r="E501" s="39"/>
      <c r="F501" s="39"/>
      <c r="G501" s="39"/>
    </row>
    <row r="502" spans="1:7" ht="12.75">
      <c r="A502" s="38" t="s">
        <v>98</v>
      </c>
      <c r="B502" s="39"/>
      <c r="C502" s="50"/>
      <c r="D502" s="39"/>
      <c r="E502" s="39"/>
      <c r="F502" s="39"/>
      <c r="G502" s="39"/>
    </row>
    <row r="503" spans="1:7" ht="5.25" customHeight="1">
      <c r="A503" s="39"/>
      <c r="B503" s="39"/>
      <c r="C503" s="50"/>
      <c r="D503" s="39"/>
      <c r="E503" s="39"/>
      <c r="F503" s="39"/>
      <c r="G503" s="39"/>
    </row>
    <row r="504" spans="1:7" ht="12.75">
      <c r="A504" s="618" t="s">
        <v>288</v>
      </c>
      <c r="B504" s="618"/>
      <c r="C504" s="618"/>
      <c r="D504" s="618"/>
      <c r="E504" s="39"/>
      <c r="F504" s="39"/>
      <c r="G504" s="39"/>
    </row>
    <row r="505" spans="1:6" ht="27" customHeight="1">
      <c r="A505" s="352" t="s">
        <v>87</v>
      </c>
      <c r="B505" s="352" t="s">
        <v>8</v>
      </c>
      <c r="C505" s="352" t="s">
        <v>9</v>
      </c>
      <c r="D505" s="352" t="s">
        <v>59</v>
      </c>
      <c r="F505" s="66"/>
    </row>
    <row r="506" spans="1:6" ht="15" customHeight="1" hidden="1">
      <c r="A506" s="435"/>
      <c r="B506" s="436" t="s">
        <v>60</v>
      </c>
      <c r="C506" s="435"/>
      <c r="D506" s="437"/>
      <c r="F506" s="66"/>
    </row>
    <row r="507" spans="1:6" ht="27" customHeight="1">
      <c r="A507" s="620" t="s">
        <v>69</v>
      </c>
      <c r="B507" s="561" t="s">
        <v>298</v>
      </c>
      <c r="C507" s="346" t="str">
        <f>C466</f>
        <v>01.04.2019</v>
      </c>
      <c r="D507" s="167">
        <v>0</v>
      </c>
      <c r="F507" s="66"/>
    </row>
    <row r="508" spans="1:6" ht="15" customHeight="1">
      <c r="A508" s="621"/>
      <c r="B508" s="561" t="s">
        <v>68</v>
      </c>
      <c r="C508" s="346" t="str">
        <f>C467</f>
        <v>01.05.2019</v>
      </c>
      <c r="D508" s="164">
        <v>28.96</v>
      </c>
      <c r="F508" s="66"/>
    </row>
    <row r="509" spans="1:7" ht="15" customHeight="1">
      <c r="A509" s="621"/>
      <c r="B509" s="562" t="s">
        <v>6</v>
      </c>
      <c r="C509" s="346" t="str">
        <f>C468</f>
        <v>09.09.2019</v>
      </c>
      <c r="D509" s="164">
        <v>38.38</v>
      </c>
      <c r="F509" s="66"/>
      <c r="G509" s="4" t="s">
        <v>105</v>
      </c>
    </row>
    <row r="510" spans="1:6" ht="15" customHeight="1">
      <c r="A510" s="438"/>
      <c r="B510" s="562" t="s">
        <v>7</v>
      </c>
      <c r="C510" s="346" t="str">
        <f>C469</f>
        <v>23.12.2019</v>
      </c>
      <c r="D510" s="164">
        <v>44.9</v>
      </c>
      <c r="F510" s="66"/>
    </row>
    <row r="511" spans="1:5" ht="12.75">
      <c r="A511" s="598" t="s">
        <v>3</v>
      </c>
      <c r="B511" s="599"/>
      <c r="C511" s="600"/>
      <c r="D511" s="386">
        <f>SUM(D507:D510)</f>
        <v>112.24000000000001</v>
      </c>
      <c r="E511" s="34"/>
    </row>
    <row r="512" ht="7.5" customHeight="1"/>
    <row r="513" ht="12.75">
      <c r="A513" s="13" t="s">
        <v>160</v>
      </c>
    </row>
    <row r="514" spans="1:6" ht="30" customHeight="1">
      <c r="A514" s="439" t="s">
        <v>32</v>
      </c>
      <c r="B514" s="440" t="s">
        <v>289</v>
      </c>
      <c r="C514" s="441" t="s">
        <v>51</v>
      </c>
      <c r="D514" s="441" t="s">
        <v>52</v>
      </c>
      <c r="E514" s="441" t="s">
        <v>30</v>
      </c>
      <c r="F514" s="441" t="s">
        <v>31</v>
      </c>
    </row>
    <row r="515" spans="1:6" s="15" customFormat="1" ht="13.5" customHeight="1">
      <c r="A515" s="242">
        <v>1</v>
      </c>
      <c r="B515" s="242">
        <v>2</v>
      </c>
      <c r="C515" s="242">
        <v>3</v>
      </c>
      <c r="D515" s="242">
        <v>4</v>
      </c>
      <c r="E515" s="242" t="s">
        <v>57</v>
      </c>
      <c r="F515" s="242">
        <v>6</v>
      </c>
    </row>
    <row r="516" spans="1:6" ht="27" customHeight="1">
      <c r="A516" s="27">
        <v>1</v>
      </c>
      <c r="B516" s="201" t="s">
        <v>271</v>
      </c>
      <c r="C516" s="442">
        <v>119.15</v>
      </c>
      <c r="D516" s="442">
        <v>119.15</v>
      </c>
      <c r="E516" s="443">
        <f>D516-C516</f>
        <v>0</v>
      </c>
      <c r="F516" s="444">
        <v>0</v>
      </c>
    </row>
    <row r="517" spans="1:6" ht="25.5">
      <c r="A517" s="27">
        <v>2</v>
      </c>
      <c r="B517" s="201" t="s">
        <v>316</v>
      </c>
      <c r="C517" s="144">
        <v>0</v>
      </c>
      <c r="D517" s="144">
        <v>0</v>
      </c>
      <c r="E517" s="443">
        <f>D517-C517</f>
        <v>0</v>
      </c>
      <c r="F517" s="374">
        <v>0</v>
      </c>
    </row>
    <row r="518" spans="1:6" ht="25.5">
      <c r="A518" s="27">
        <v>3</v>
      </c>
      <c r="B518" s="201" t="s">
        <v>285</v>
      </c>
      <c r="C518" s="144">
        <v>112.24000000000001</v>
      </c>
      <c r="D518" s="144">
        <v>112.24000000000001</v>
      </c>
      <c r="E518" s="443">
        <f>D518-C518</f>
        <v>0</v>
      </c>
      <c r="F518" s="374">
        <f>E518/C518</f>
        <v>0</v>
      </c>
    </row>
    <row r="519" spans="1:6" ht="15.75" customHeight="1">
      <c r="A519" s="445">
        <v>4</v>
      </c>
      <c r="B519" s="446" t="s">
        <v>67</v>
      </c>
      <c r="C519" s="447">
        <f>C517+C518</f>
        <v>112.24000000000001</v>
      </c>
      <c r="D519" s="447">
        <f>D517+D518</f>
        <v>112.24000000000001</v>
      </c>
      <c r="E519" s="448">
        <f>D519-C519</f>
        <v>0</v>
      </c>
      <c r="F519" s="449">
        <f>E519/C519</f>
        <v>0</v>
      </c>
    </row>
    <row r="520" spans="1:6" ht="15.75" customHeight="1">
      <c r="A520" s="239"/>
      <c r="B520" s="51"/>
      <c r="C520" s="52"/>
      <c r="D520" s="52"/>
      <c r="E520" s="387"/>
      <c r="F520" s="29"/>
    </row>
    <row r="521" spans="1:5" ht="12.75">
      <c r="A521" s="578" t="s">
        <v>290</v>
      </c>
      <c r="B521" s="578"/>
      <c r="C521" s="578"/>
      <c r="D521" s="578"/>
      <c r="E521" s="578"/>
    </row>
    <row r="522" spans="4:8" ht="12.75">
      <c r="D522" s="313" t="s">
        <v>10</v>
      </c>
      <c r="F522" s="450"/>
      <c r="G522" s="607" t="s">
        <v>254</v>
      </c>
      <c r="H522" s="607"/>
    </row>
    <row r="523" spans="1:8" ht="51">
      <c r="A523" s="352" t="s">
        <v>287</v>
      </c>
      <c r="B523" s="352" t="s">
        <v>71</v>
      </c>
      <c r="C523" s="352" t="s">
        <v>72</v>
      </c>
      <c r="D523" s="352" t="s">
        <v>73</v>
      </c>
      <c r="E523" s="352" t="s">
        <v>74</v>
      </c>
      <c r="F523" s="352" t="s">
        <v>30</v>
      </c>
      <c r="G523" s="352" t="s">
        <v>63</v>
      </c>
      <c r="H523" s="352" t="s">
        <v>206</v>
      </c>
    </row>
    <row r="524" spans="1:8" s="15" customFormat="1" ht="12.75">
      <c r="A524" s="451">
        <v>1</v>
      </c>
      <c r="B524" s="451">
        <v>2</v>
      </c>
      <c r="C524" s="451">
        <v>3</v>
      </c>
      <c r="D524" s="451">
        <v>4</v>
      </c>
      <c r="E524" s="451">
        <v>5</v>
      </c>
      <c r="F524" s="451" t="s">
        <v>75</v>
      </c>
      <c r="G524" s="451">
        <v>7</v>
      </c>
      <c r="H524" s="452" t="s">
        <v>76</v>
      </c>
    </row>
    <row r="525" spans="1:8" s="80" customFormat="1" ht="18" customHeight="1">
      <c r="A525" s="453">
        <f>C516</f>
        <v>119.15</v>
      </c>
      <c r="B525" s="453">
        <f>D511</f>
        <v>112.24000000000001</v>
      </c>
      <c r="C525" s="432">
        <f>E211</f>
        <v>2346.2600000000007</v>
      </c>
      <c r="D525" s="432">
        <f>C525*3970/100000</f>
        <v>93.14652200000003</v>
      </c>
      <c r="E525" s="454">
        <v>0</v>
      </c>
      <c r="F525" s="432">
        <f>E525-D525</f>
        <v>-93.14652200000003</v>
      </c>
      <c r="G525" s="431">
        <f>E525/A525</f>
        <v>0</v>
      </c>
      <c r="H525" s="432">
        <f>B525-E525</f>
        <v>112.24000000000001</v>
      </c>
    </row>
    <row r="526" spans="1:7" ht="12.75" customHeight="1">
      <c r="A526" s="54"/>
      <c r="B526" s="55"/>
      <c r="C526" s="146"/>
      <c r="D526" s="146"/>
      <c r="E526" s="147"/>
      <c r="F526" s="56"/>
      <c r="G526" s="57"/>
    </row>
    <row r="527" spans="1:6" ht="12.75">
      <c r="A527" s="579" t="s">
        <v>291</v>
      </c>
      <c r="B527" s="579"/>
      <c r="C527" s="579"/>
      <c r="D527" s="579"/>
      <c r="E527" s="579"/>
      <c r="F527" s="579"/>
    </row>
    <row r="528" spans="1:13" ht="11.25" customHeight="1" thickBot="1">
      <c r="A528" s="13"/>
      <c r="J528" s="4">
        <v>7997</v>
      </c>
      <c r="K528" s="4">
        <v>33498</v>
      </c>
      <c r="M528" s="4">
        <f>SUM(J528:K528)</f>
        <v>41495</v>
      </c>
    </row>
    <row r="529" spans="1:12" ht="15.75" customHeight="1" thickBot="1">
      <c r="A529" s="82" t="s">
        <v>168</v>
      </c>
      <c r="B529" s="81"/>
      <c r="C529" s="81"/>
      <c r="J529" s="455"/>
      <c r="K529" s="456"/>
      <c r="L529" s="511"/>
    </row>
    <row r="530" spans="1:12" ht="13.5" customHeight="1" thickBot="1">
      <c r="A530" s="13"/>
      <c r="I530" s="4">
        <f>874+300</f>
        <v>1174</v>
      </c>
      <c r="J530" s="83"/>
      <c r="K530" s="84"/>
      <c r="L530" s="511"/>
    </row>
    <row r="531" spans="1:6" ht="13.5" customHeight="1">
      <c r="A531" s="42" t="s">
        <v>161</v>
      </c>
      <c r="B531" s="457"/>
      <c r="C531" s="457"/>
      <c r="D531" s="457"/>
      <c r="E531" s="457"/>
      <c r="F531" s="266" t="s">
        <v>262</v>
      </c>
    </row>
    <row r="532" spans="1:6" ht="12.75">
      <c r="A532" s="603" t="s">
        <v>339</v>
      </c>
      <c r="B532" s="603"/>
      <c r="C532" s="603"/>
      <c r="D532" s="603"/>
      <c r="E532" s="603"/>
      <c r="F532" s="603"/>
    </row>
    <row r="533" spans="1:7" ht="25.5">
      <c r="A533" s="462" t="s">
        <v>16</v>
      </c>
      <c r="B533" s="462" t="s">
        <v>8</v>
      </c>
      <c r="C533" s="462" t="s">
        <v>260</v>
      </c>
      <c r="D533" s="470" t="s">
        <v>263</v>
      </c>
      <c r="E533" s="462" t="s">
        <v>261</v>
      </c>
      <c r="F533" s="470" t="s">
        <v>263</v>
      </c>
      <c r="G533" s="66"/>
    </row>
    <row r="534" spans="1:7" ht="13.5" customHeight="1">
      <c r="A534" s="604" t="s">
        <v>69</v>
      </c>
      <c r="B534" s="27" t="s">
        <v>107</v>
      </c>
      <c r="C534" s="347">
        <v>611</v>
      </c>
      <c r="D534" s="347">
        <v>366.85</v>
      </c>
      <c r="E534" s="471">
        <v>0</v>
      </c>
      <c r="F534" s="472">
        <v>0</v>
      </c>
      <c r="G534" s="72"/>
    </row>
    <row r="535" spans="1:7" ht="13.5" customHeight="1">
      <c r="A535" s="605"/>
      <c r="B535" s="27" t="s">
        <v>0</v>
      </c>
      <c r="C535" s="347">
        <v>21</v>
      </c>
      <c r="D535" s="347">
        <v>12.6</v>
      </c>
      <c r="E535" s="471">
        <v>0</v>
      </c>
      <c r="F535" s="472">
        <v>0</v>
      </c>
      <c r="G535" s="72"/>
    </row>
    <row r="536" spans="1:7" ht="13.5" customHeight="1">
      <c r="A536" s="605"/>
      <c r="B536" s="27" t="s">
        <v>13</v>
      </c>
      <c r="C536" s="347">
        <v>901</v>
      </c>
      <c r="D536" s="347">
        <v>540.6</v>
      </c>
      <c r="E536" s="471">
        <v>0</v>
      </c>
      <c r="F536" s="472">
        <v>0</v>
      </c>
      <c r="G536" s="72"/>
    </row>
    <row r="537" spans="1:7" ht="13.5" customHeight="1">
      <c r="A537" s="605"/>
      <c r="B537" s="27" t="s">
        <v>70</v>
      </c>
      <c r="C537" s="347">
        <v>0</v>
      </c>
      <c r="D537" s="347">
        <v>0</v>
      </c>
      <c r="E537" s="471">
        <v>0</v>
      </c>
      <c r="F537" s="472">
        <v>0</v>
      </c>
      <c r="G537" s="72"/>
    </row>
    <row r="538" spans="1:7" ht="13.5" customHeight="1">
      <c r="A538" s="605"/>
      <c r="B538" s="27" t="s">
        <v>140</v>
      </c>
      <c r="C538" s="347">
        <v>0</v>
      </c>
      <c r="D538" s="347">
        <v>0</v>
      </c>
      <c r="E538" s="471">
        <v>0</v>
      </c>
      <c r="F538" s="472">
        <v>0</v>
      </c>
      <c r="G538" s="72"/>
    </row>
    <row r="539" spans="1:7" ht="13.5" customHeight="1">
      <c r="A539" s="605"/>
      <c r="B539" s="27" t="s">
        <v>141</v>
      </c>
      <c r="C539" s="347">
        <v>863</v>
      </c>
      <c r="D539" s="347">
        <v>1703.7</v>
      </c>
      <c r="E539" s="471">
        <v>0</v>
      </c>
      <c r="F539" s="472">
        <v>0</v>
      </c>
      <c r="G539" s="72"/>
    </row>
    <row r="540" spans="1:7" ht="13.5" customHeight="1">
      <c r="A540" s="605"/>
      <c r="B540" s="27" t="s">
        <v>180</v>
      </c>
      <c r="C540" s="347">
        <v>0</v>
      </c>
      <c r="D540" s="347">
        <v>0</v>
      </c>
      <c r="E540" s="471">
        <v>0</v>
      </c>
      <c r="F540" s="472">
        <v>0</v>
      </c>
      <c r="G540" s="72"/>
    </row>
    <row r="541" spans="1:7" ht="13.5" customHeight="1">
      <c r="A541" s="605"/>
      <c r="B541" s="27" t="s">
        <v>203</v>
      </c>
      <c r="C541" s="347">
        <v>0</v>
      </c>
      <c r="D541" s="347">
        <v>0</v>
      </c>
      <c r="E541" s="471">
        <v>0</v>
      </c>
      <c r="F541" s="472">
        <v>0</v>
      </c>
      <c r="G541" s="72"/>
    </row>
    <row r="542" spans="1:7" ht="13.5" customHeight="1">
      <c r="A542" s="605"/>
      <c r="B542" s="27" t="s">
        <v>239</v>
      </c>
      <c r="C542" s="347">
        <v>110</v>
      </c>
      <c r="D542" s="347">
        <v>346.5</v>
      </c>
      <c r="E542" s="471">
        <v>0</v>
      </c>
      <c r="F542" s="472">
        <v>0</v>
      </c>
      <c r="G542" s="72"/>
    </row>
    <row r="543" spans="1:7" ht="13.5" customHeight="1">
      <c r="A543" s="605"/>
      <c r="B543" s="27" t="s">
        <v>240</v>
      </c>
      <c r="C543" s="347">
        <v>0</v>
      </c>
      <c r="D543" s="347">
        <v>0</v>
      </c>
      <c r="E543" s="471">
        <v>0</v>
      </c>
      <c r="F543" s="472">
        <v>0</v>
      </c>
      <c r="G543" s="72"/>
    </row>
    <row r="544" spans="1:7" ht="13.5" customHeight="1">
      <c r="A544" s="605"/>
      <c r="B544" s="27" t="s">
        <v>244</v>
      </c>
      <c r="C544" s="347">
        <v>0</v>
      </c>
      <c r="D544" s="347">
        <v>0</v>
      </c>
      <c r="E544" s="471">
        <v>0</v>
      </c>
      <c r="F544" s="472">
        <v>0</v>
      </c>
      <c r="G544" s="72"/>
    </row>
    <row r="545" spans="1:7" ht="13.5" customHeight="1">
      <c r="A545" s="605"/>
      <c r="B545" s="347" t="s">
        <v>241</v>
      </c>
      <c r="C545" s="347">
        <v>0</v>
      </c>
      <c r="D545" s="347">
        <v>0</v>
      </c>
      <c r="E545" s="471">
        <v>0</v>
      </c>
      <c r="F545" s="472">
        <v>0</v>
      </c>
      <c r="G545" s="72"/>
    </row>
    <row r="546" spans="1:7" ht="13.5" customHeight="1">
      <c r="A546" s="605"/>
      <c r="B546" s="347" t="s">
        <v>247</v>
      </c>
      <c r="C546" s="471">
        <v>26</v>
      </c>
      <c r="D546" s="471">
        <v>81.9</v>
      </c>
      <c r="E546" s="471">
        <v>0</v>
      </c>
      <c r="F546" s="472">
        <v>0</v>
      </c>
      <c r="G546" s="72"/>
    </row>
    <row r="547" spans="1:7" ht="13.5" customHeight="1">
      <c r="A547" s="605"/>
      <c r="B547" s="347" t="s">
        <v>259</v>
      </c>
      <c r="C547" s="471">
        <v>9</v>
      </c>
      <c r="D547" s="471">
        <v>28.35</v>
      </c>
      <c r="E547" s="471">
        <v>1533</v>
      </c>
      <c r="F547" s="471">
        <f>E547*9000/100000</f>
        <v>137.97</v>
      </c>
      <c r="G547" s="72"/>
    </row>
    <row r="548" spans="1:7" ht="15.75" customHeight="1">
      <c r="A548" s="606"/>
      <c r="B548" s="458" t="s">
        <v>20</v>
      </c>
      <c r="C548" s="473">
        <f>SUM(C534:C547)</f>
        <v>2541</v>
      </c>
      <c r="D548" s="563">
        <f>SUM(D534:D547)</f>
        <v>3080.5</v>
      </c>
      <c r="E548" s="473">
        <f>SUM(E534:E547)</f>
        <v>1533</v>
      </c>
      <c r="F548" s="473">
        <f>SUM(F534:F547)</f>
        <v>137.97</v>
      </c>
      <c r="G548" s="19"/>
    </row>
    <row r="549" spans="1:7" ht="18" customHeight="1">
      <c r="A549" s="660" t="s">
        <v>336</v>
      </c>
      <c r="B549" s="660"/>
      <c r="C549" s="660"/>
      <c r="D549" s="660"/>
      <c r="E549" s="660"/>
      <c r="F549" s="660"/>
      <c r="G549" s="19"/>
    </row>
    <row r="550" spans="1:7" ht="14.25" customHeight="1">
      <c r="A550" s="165"/>
      <c r="G550" s="19"/>
    </row>
    <row r="551" spans="1:7" ht="15.75" customHeight="1">
      <c r="A551" s="28"/>
      <c r="B551" s="28"/>
      <c r="C551" s="19"/>
      <c r="D551" s="51"/>
      <c r="E551" s="51"/>
      <c r="G551" s="19"/>
    </row>
    <row r="552" ht="12.75">
      <c r="A552" s="13" t="s">
        <v>162</v>
      </c>
    </row>
    <row r="553" spans="1:7" ht="12.75">
      <c r="A553" s="569" t="s">
        <v>12</v>
      </c>
      <c r="B553" s="571" t="s">
        <v>23</v>
      </c>
      <c r="C553" s="572"/>
      <c r="D553" s="629" t="s">
        <v>25</v>
      </c>
      <c r="E553" s="629"/>
      <c r="F553" s="629" t="s">
        <v>22</v>
      </c>
      <c r="G553" s="629"/>
    </row>
    <row r="554" spans="1:7" ht="12.75">
      <c r="A554" s="570"/>
      <c r="B554" s="459" t="s">
        <v>5</v>
      </c>
      <c r="C554" s="460" t="s">
        <v>24</v>
      </c>
      <c r="D554" s="445" t="s">
        <v>5</v>
      </c>
      <c r="E554" s="445" t="s">
        <v>24</v>
      </c>
      <c r="F554" s="445" t="s">
        <v>5</v>
      </c>
      <c r="G554" s="445" t="s">
        <v>24</v>
      </c>
    </row>
    <row r="555" spans="1:7" ht="39" customHeight="1">
      <c r="A555" s="70" t="s">
        <v>337</v>
      </c>
      <c r="B555" s="256">
        <f>C548</f>
        <v>2541</v>
      </c>
      <c r="C555" s="461">
        <f>D548</f>
        <v>3080.5</v>
      </c>
      <c r="D555" s="245">
        <v>2532</v>
      </c>
      <c r="E555" s="461">
        <v>3051.8966</v>
      </c>
      <c r="F555" s="564">
        <f>B555-D555</f>
        <v>9</v>
      </c>
      <c r="G555" s="565">
        <f>C555-E555</f>
        <v>28.603399999999965</v>
      </c>
    </row>
    <row r="556" spans="1:4" ht="20.25" customHeight="1">
      <c r="A556" s="19"/>
      <c r="B556" s="19"/>
      <c r="C556" s="19"/>
      <c r="D556" s="19"/>
    </row>
    <row r="557" spans="1:5" ht="12.75">
      <c r="A557" s="580" t="s">
        <v>256</v>
      </c>
      <c r="B557" s="580"/>
      <c r="C557" s="580"/>
      <c r="D557" s="580"/>
      <c r="E557" s="580"/>
    </row>
    <row r="558" spans="1:6" ht="36" customHeight="1">
      <c r="A558" s="602" t="s">
        <v>292</v>
      </c>
      <c r="B558" s="602"/>
      <c r="C558" s="602" t="s">
        <v>255</v>
      </c>
      <c r="D558" s="602"/>
      <c r="E558" s="602" t="s">
        <v>4</v>
      </c>
      <c r="F558" s="602"/>
    </row>
    <row r="559" spans="1:6" ht="12.75">
      <c r="A559" s="345" t="s">
        <v>5</v>
      </c>
      <c r="B559" s="345" t="s">
        <v>15</v>
      </c>
      <c r="C559" s="345" t="s">
        <v>5</v>
      </c>
      <c r="D559" s="345" t="s">
        <v>15</v>
      </c>
      <c r="E559" s="345" t="s">
        <v>5</v>
      </c>
      <c r="F559" s="345" t="s">
        <v>11</v>
      </c>
    </row>
    <row r="560" spans="1:6" s="15" customFormat="1" ht="12.75">
      <c r="A560" s="463">
        <v>1</v>
      </c>
      <c r="B560" s="463">
        <v>2</v>
      </c>
      <c r="C560" s="463">
        <v>3</v>
      </c>
      <c r="D560" s="463">
        <v>4</v>
      </c>
      <c r="E560" s="463">
        <v>5</v>
      </c>
      <c r="F560" s="463">
        <v>6</v>
      </c>
    </row>
    <row r="561" spans="1:6" ht="15.75" customHeight="1">
      <c r="A561" s="256">
        <f>B555</f>
        <v>2541</v>
      </c>
      <c r="B561" s="461">
        <f>C555</f>
        <v>3080.5</v>
      </c>
      <c r="C561" s="256">
        <v>2532</v>
      </c>
      <c r="D561" s="461">
        <v>3051.8966</v>
      </c>
      <c r="E561" s="566">
        <f>C561/A561</f>
        <v>0.9964580873671782</v>
      </c>
      <c r="F561" s="566">
        <f>D561/B561</f>
        <v>0.9907146891738354</v>
      </c>
    </row>
    <row r="562" spans="1:7" ht="12.75" customHeight="1">
      <c r="A562" s="54"/>
      <c r="B562" s="55"/>
      <c r="C562" s="146"/>
      <c r="D562" s="146"/>
      <c r="E562" s="147"/>
      <c r="F562" s="56"/>
      <c r="G562" s="57" t="s">
        <v>105</v>
      </c>
    </row>
    <row r="563" spans="1:3" ht="12.75">
      <c r="A563" s="82" t="s">
        <v>164</v>
      </c>
      <c r="B563" s="81"/>
      <c r="C563" s="81"/>
    </row>
    <row r="564" ht="6.75" customHeight="1">
      <c r="A564" s="13"/>
    </row>
    <row r="565" spans="1:6" ht="9" customHeight="1">
      <c r="A565" s="86" t="s">
        <v>163</v>
      </c>
      <c r="B565" s="88"/>
      <c r="C565" s="88"/>
      <c r="D565" s="88"/>
      <c r="E565" s="88"/>
      <c r="F565" s="88"/>
    </row>
    <row r="566" spans="1:6" ht="6.75" customHeight="1">
      <c r="A566" s="90"/>
      <c r="B566" s="91"/>
      <c r="C566" s="92"/>
      <c r="D566" s="92"/>
      <c r="E566" s="92"/>
      <c r="F566" s="92"/>
    </row>
    <row r="567" spans="1:6" ht="12.75">
      <c r="A567" s="601" t="s">
        <v>338</v>
      </c>
      <c r="B567" s="601"/>
      <c r="C567" s="601"/>
      <c r="D567" s="601"/>
      <c r="F567" s="85" t="s">
        <v>262</v>
      </c>
    </row>
    <row r="568" spans="1:6" ht="12.75">
      <c r="A568" s="381"/>
      <c r="B568" s="381"/>
      <c r="C568" s="663" t="s">
        <v>245</v>
      </c>
      <c r="D568" s="664"/>
      <c r="E568" s="663" t="s">
        <v>246</v>
      </c>
      <c r="F568" s="664"/>
    </row>
    <row r="569" spans="1:6" ht="12.75">
      <c r="A569" s="381" t="s">
        <v>16</v>
      </c>
      <c r="B569" s="381" t="s">
        <v>8</v>
      </c>
      <c r="C569" s="381" t="s">
        <v>21</v>
      </c>
      <c r="D569" s="381" t="s">
        <v>263</v>
      </c>
      <c r="E569" s="381" t="s">
        <v>21</v>
      </c>
      <c r="F569" s="381" t="s">
        <v>263</v>
      </c>
    </row>
    <row r="570" spans="1:8" s="39" customFormat="1" ht="13.5" customHeight="1">
      <c r="A570" s="581" t="s">
        <v>150</v>
      </c>
      <c r="B570" s="164" t="s">
        <v>108</v>
      </c>
      <c r="C570" s="164">
        <v>727</v>
      </c>
      <c r="D570" s="164">
        <v>36.35</v>
      </c>
      <c r="E570" s="418">
        <v>0</v>
      </c>
      <c r="F570" s="418">
        <v>0</v>
      </c>
      <c r="G570" s="4"/>
      <c r="H570" s="4"/>
    </row>
    <row r="571" spans="1:8" s="39" customFormat="1" ht="13.5" customHeight="1">
      <c r="A571" s="581"/>
      <c r="B571" s="164" t="s">
        <v>0</v>
      </c>
      <c r="C571" s="166">
        <v>567</v>
      </c>
      <c r="D571" s="145">
        <v>28.35</v>
      </c>
      <c r="E571" s="418">
        <v>0</v>
      </c>
      <c r="F571" s="418">
        <v>0</v>
      </c>
      <c r="G571" s="4"/>
      <c r="H571" s="4"/>
    </row>
    <row r="572" spans="1:8" s="39" customFormat="1" ht="13.5" customHeight="1">
      <c r="A572" s="581"/>
      <c r="B572" s="164" t="s">
        <v>13</v>
      </c>
      <c r="C572" s="166">
        <v>0</v>
      </c>
      <c r="D572" s="145">
        <v>0</v>
      </c>
      <c r="E572" s="166">
        <v>0</v>
      </c>
      <c r="F572" s="145">
        <v>0</v>
      </c>
      <c r="G572" s="4"/>
      <c r="H572" s="4"/>
    </row>
    <row r="573" spans="1:8" s="39" customFormat="1" ht="13.5" customHeight="1">
      <c r="A573" s="581"/>
      <c r="B573" s="164" t="s">
        <v>70</v>
      </c>
      <c r="C573" s="166">
        <v>0</v>
      </c>
      <c r="D573" s="145">
        <v>0</v>
      </c>
      <c r="E573" s="166">
        <v>0</v>
      </c>
      <c r="F573" s="145">
        <v>0</v>
      </c>
      <c r="G573" s="4"/>
      <c r="H573" s="4"/>
    </row>
    <row r="574" spans="1:8" s="39" customFormat="1" ht="15.75" customHeight="1">
      <c r="A574" s="581"/>
      <c r="B574" s="164" t="s">
        <v>140</v>
      </c>
      <c r="C574" s="166">
        <v>1134</v>
      </c>
      <c r="D574" s="145">
        <v>56.7</v>
      </c>
      <c r="E574" s="166">
        <v>0</v>
      </c>
      <c r="F574" s="145">
        <v>0</v>
      </c>
      <c r="G574" s="4"/>
      <c r="H574" s="4"/>
    </row>
    <row r="575" spans="1:8" s="39" customFormat="1" ht="15.75" customHeight="1">
      <c r="A575" s="581"/>
      <c r="B575" s="164" t="s">
        <v>141</v>
      </c>
      <c r="C575" s="166">
        <v>0</v>
      </c>
      <c r="D575" s="145">
        <v>0</v>
      </c>
      <c r="E575" s="166">
        <v>0</v>
      </c>
      <c r="F575" s="145">
        <v>0</v>
      </c>
      <c r="G575" s="4"/>
      <c r="H575" s="4"/>
    </row>
    <row r="576" spans="1:8" s="39" customFormat="1" ht="15.75" customHeight="1">
      <c r="A576" s="581"/>
      <c r="B576" s="164" t="s">
        <v>180</v>
      </c>
      <c r="C576" s="166">
        <v>0</v>
      </c>
      <c r="D576" s="145">
        <v>0</v>
      </c>
      <c r="E576" s="418">
        <v>608</v>
      </c>
      <c r="F576" s="418">
        <v>30.4</v>
      </c>
      <c r="G576" s="4"/>
      <c r="H576" s="4"/>
    </row>
    <row r="577" spans="1:8" s="39" customFormat="1" ht="15.75" customHeight="1">
      <c r="A577" s="176"/>
      <c r="B577" s="164" t="s">
        <v>203</v>
      </c>
      <c r="C577" s="166">
        <v>0</v>
      </c>
      <c r="D577" s="145">
        <v>0</v>
      </c>
      <c r="E577" s="418">
        <v>567</v>
      </c>
      <c r="F577" s="418">
        <v>28.35</v>
      </c>
      <c r="G577" s="4"/>
      <c r="H577" s="4"/>
    </row>
    <row r="578" spans="1:8" s="39" customFormat="1" ht="15.75" customHeight="1">
      <c r="A578" s="177"/>
      <c r="B578" s="164" t="s">
        <v>239</v>
      </c>
      <c r="C578" s="166">
        <v>0</v>
      </c>
      <c r="D578" s="145">
        <v>0</v>
      </c>
      <c r="E578" s="166">
        <v>0</v>
      </c>
      <c r="F578" s="145">
        <v>0</v>
      </c>
      <c r="G578" s="4"/>
      <c r="H578" s="4"/>
    </row>
    <row r="579" spans="1:8" s="39" customFormat="1" ht="15.75" customHeight="1">
      <c r="A579" s="177"/>
      <c r="B579" s="164" t="s">
        <v>240</v>
      </c>
      <c r="C579" s="166">
        <v>0</v>
      </c>
      <c r="D579" s="145">
        <v>0</v>
      </c>
      <c r="E579" s="166">
        <v>0</v>
      </c>
      <c r="F579" s="145">
        <v>0</v>
      </c>
      <c r="G579" s="4"/>
      <c r="H579" s="4"/>
    </row>
    <row r="580" spans="1:8" s="39" customFormat="1" ht="15.75" customHeight="1">
      <c r="A580" s="176"/>
      <c r="B580" s="164" t="s">
        <v>244</v>
      </c>
      <c r="C580" s="166">
        <v>0</v>
      </c>
      <c r="D580" s="145">
        <v>0</v>
      </c>
      <c r="E580" s="418">
        <v>1134</v>
      </c>
      <c r="F580" s="418">
        <v>56.7</v>
      </c>
      <c r="G580" s="5"/>
      <c r="H580" s="4"/>
    </row>
    <row r="581" spans="1:8" s="39" customFormat="1" ht="15.75" customHeight="1">
      <c r="A581" s="176"/>
      <c r="B581" s="164" t="s">
        <v>241</v>
      </c>
      <c r="C581" s="166">
        <v>120</v>
      </c>
      <c r="D581" s="145">
        <v>6</v>
      </c>
      <c r="E581" s="166">
        <v>0</v>
      </c>
      <c r="F581" s="145">
        <v>0</v>
      </c>
      <c r="G581" s="5"/>
      <c r="H581" s="4"/>
    </row>
    <row r="582" spans="1:8" s="39" customFormat="1" ht="15.75" customHeight="1">
      <c r="A582" s="176"/>
      <c r="B582" s="164" t="s">
        <v>247</v>
      </c>
      <c r="C582" s="166">
        <v>0</v>
      </c>
      <c r="D582" s="145">
        <v>0</v>
      </c>
      <c r="E582" s="166">
        <v>0</v>
      </c>
      <c r="F582" s="145">
        <v>0</v>
      </c>
      <c r="G582" s="5"/>
      <c r="H582" s="4"/>
    </row>
    <row r="583" spans="1:8" s="39" customFormat="1" ht="15.75" customHeight="1">
      <c r="A583" s="177"/>
      <c r="B583" s="164" t="s">
        <v>259</v>
      </c>
      <c r="C583" s="166">
        <v>7</v>
      </c>
      <c r="D583" s="145">
        <v>0.72</v>
      </c>
      <c r="E583" s="418">
        <v>608</v>
      </c>
      <c r="F583" s="418">
        <v>71.1</v>
      </c>
      <c r="G583" s="5"/>
      <c r="H583" s="4"/>
    </row>
    <row r="584" spans="1:8" s="469" customFormat="1" ht="14.25" customHeight="1">
      <c r="A584" s="467"/>
      <c r="B584" s="467" t="s">
        <v>20</v>
      </c>
      <c r="C584" s="467">
        <f>SUM(C570:C583)</f>
        <v>2555</v>
      </c>
      <c r="D584" s="432">
        <f>SUM(D570:D583)</f>
        <v>128.12</v>
      </c>
      <c r="E584" s="467">
        <f>SUM(E570:E583)</f>
        <v>2917</v>
      </c>
      <c r="F584" s="467">
        <f>SUM(F570:F583)</f>
        <v>186.55</v>
      </c>
      <c r="G584" s="468"/>
      <c r="H584" s="4"/>
    </row>
    <row r="585" spans="1:7" ht="14.25" customHeight="1">
      <c r="A585" s="88"/>
      <c r="B585" s="88"/>
      <c r="C585" s="88"/>
      <c r="D585" s="88"/>
      <c r="E585" s="88"/>
      <c r="F585" s="88"/>
      <c r="G585" s="88"/>
    </row>
    <row r="586" spans="1:7" ht="12.75">
      <c r="A586" s="85" t="s">
        <v>174</v>
      </c>
      <c r="B586" s="88"/>
      <c r="C586" s="88"/>
      <c r="D586" s="88"/>
      <c r="E586" s="88"/>
      <c r="F586" s="88"/>
      <c r="G586" s="88"/>
    </row>
    <row r="587" spans="1:7" ht="12.75">
      <c r="A587" s="623" t="s">
        <v>12</v>
      </c>
      <c r="B587" s="625" t="s">
        <v>23</v>
      </c>
      <c r="C587" s="626"/>
      <c r="D587" s="630" t="s">
        <v>151</v>
      </c>
      <c r="E587" s="630"/>
      <c r="F587" s="630" t="s">
        <v>22</v>
      </c>
      <c r="G587" s="630"/>
    </row>
    <row r="588" spans="1:7" ht="12.75">
      <c r="A588" s="624"/>
      <c r="B588" s="173" t="s">
        <v>5</v>
      </c>
      <c r="C588" s="174" t="s">
        <v>24</v>
      </c>
      <c r="D588" s="171" t="s">
        <v>5</v>
      </c>
      <c r="E588" s="171" t="s">
        <v>24</v>
      </c>
      <c r="F588" s="171" t="s">
        <v>5</v>
      </c>
      <c r="G588" s="171" t="s">
        <v>24</v>
      </c>
    </row>
    <row r="589" spans="1:7" s="39" customFormat="1" ht="38.25">
      <c r="A589" s="70" t="s">
        <v>340</v>
      </c>
      <c r="B589" s="567">
        <f>C584</f>
        <v>2555</v>
      </c>
      <c r="C589" s="430">
        <f>D584</f>
        <v>128.12</v>
      </c>
      <c r="D589" s="567">
        <v>2548</v>
      </c>
      <c r="E589" s="430">
        <v>127.39999999999999</v>
      </c>
      <c r="F589" s="564">
        <f>B589-D589</f>
        <v>7</v>
      </c>
      <c r="G589" s="565">
        <f>C589-E589</f>
        <v>0.7200000000000131</v>
      </c>
    </row>
    <row r="590" spans="1:7" ht="14.25" customHeight="1">
      <c r="A590" s="88"/>
      <c r="B590" s="88"/>
      <c r="C590" s="88"/>
      <c r="D590" s="88"/>
      <c r="E590" s="88"/>
      <c r="F590" s="88"/>
      <c r="G590" s="88"/>
    </row>
    <row r="591" spans="1:7" ht="12.75">
      <c r="A591" s="575" t="s">
        <v>257</v>
      </c>
      <c r="B591" s="575"/>
      <c r="C591" s="575"/>
      <c r="D591" s="575"/>
      <c r="E591" s="575"/>
      <c r="F591" s="575"/>
      <c r="G591" s="575"/>
    </row>
    <row r="592" spans="1:7" ht="37.5" customHeight="1">
      <c r="A592" s="622" t="s">
        <v>293</v>
      </c>
      <c r="B592" s="622"/>
      <c r="C592" s="622" t="s">
        <v>255</v>
      </c>
      <c r="D592" s="622"/>
      <c r="E592" s="622" t="s">
        <v>4</v>
      </c>
      <c r="F592" s="622"/>
      <c r="G592" s="88"/>
    </row>
    <row r="593" spans="1:7" ht="12.75">
      <c r="A593" s="167" t="s">
        <v>5</v>
      </c>
      <c r="B593" s="167" t="s">
        <v>15</v>
      </c>
      <c r="C593" s="167" t="s">
        <v>5</v>
      </c>
      <c r="D593" s="167" t="s">
        <v>15</v>
      </c>
      <c r="E593" s="167" t="s">
        <v>5</v>
      </c>
      <c r="F593" s="167" t="s">
        <v>11</v>
      </c>
      <c r="G593" s="88"/>
    </row>
    <row r="594" spans="1:7" s="15" customFormat="1" ht="12.75">
      <c r="A594" s="163">
        <v>1</v>
      </c>
      <c r="B594" s="163">
        <v>2</v>
      </c>
      <c r="C594" s="163">
        <v>3</v>
      </c>
      <c r="D594" s="163">
        <v>4</v>
      </c>
      <c r="E594" s="163">
        <v>5</v>
      </c>
      <c r="F594" s="163">
        <v>6</v>
      </c>
      <c r="G594" s="89"/>
    </row>
    <row r="595" spans="1:7" s="39" customFormat="1" ht="15.75" customHeight="1">
      <c r="A595" s="168">
        <f>D589</f>
        <v>2548</v>
      </c>
      <c r="B595" s="169">
        <f>E589</f>
        <v>127.39999999999999</v>
      </c>
      <c r="C595" s="168">
        <f>A595</f>
        <v>2548</v>
      </c>
      <c r="D595" s="169">
        <f>B595</f>
        <v>127.39999999999999</v>
      </c>
      <c r="E595" s="160">
        <f>C595/A595</f>
        <v>1</v>
      </c>
      <c r="F595" s="160">
        <f>D595/B595</f>
        <v>1</v>
      </c>
      <c r="G595" s="39" t="s">
        <v>105</v>
      </c>
    </row>
    <row r="596" spans="1:7" ht="12.75" customHeight="1">
      <c r="A596" s="54"/>
      <c r="B596" s="55"/>
      <c r="C596" s="146"/>
      <c r="D596" s="146"/>
      <c r="E596" s="147"/>
      <c r="F596" s="56"/>
      <c r="G596" s="57"/>
    </row>
  </sheetData>
  <sheetProtection/>
  <mergeCells count="105">
    <mergeCell ref="A549:F549"/>
    <mergeCell ref="F587:G587"/>
    <mergeCell ref="C485:C486"/>
    <mergeCell ref="D485:D486"/>
    <mergeCell ref="C568:D568"/>
    <mergeCell ref="E568:F568"/>
    <mergeCell ref="E481:G481"/>
    <mergeCell ref="A466:A469"/>
    <mergeCell ref="A107:H107"/>
    <mergeCell ref="A79:H79"/>
    <mergeCell ref="A121:H121"/>
    <mergeCell ref="A7:H7"/>
    <mergeCell ref="A389:F389"/>
    <mergeCell ref="A325:F325"/>
    <mergeCell ref="A345:F345"/>
    <mergeCell ref="A359:F359"/>
    <mergeCell ref="A1:H1"/>
    <mergeCell ref="A2:H2"/>
    <mergeCell ref="A3:H3"/>
    <mergeCell ref="A5:H5"/>
    <mergeCell ref="A9:H9"/>
    <mergeCell ref="A76:C76"/>
    <mergeCell ref="A30:D30"/>
    <mergeCell ref="A20:D20"/>
    <mergeCell ref="A31:D31"/>
    <mergeCell ref="A37:F37"/>
    <mergeCell ref="A62:F62"/>
    <mergeCell ref="A44:D44"/>
    <mergeCell ref="A46:D46"/>
    <mergeCell ref="E592:F592"/>
    <mergeCell ref="A587:A588"/>
    <mergeCell ref="B587:C587"/>
    <mergeCell ref="C592:D592"/>
    <mergeCell ref="A592:B592"/>
    <mergeCell ref="A487:B487"/>
    <mergeCell ref="A504:D504"/>
    <mergeCell ref="F553:G553"/>
    <mergeCell ref="D553:E553"/>
    <mergeCell ref="D587:E587"/>
    <mergeCell ref="A274:A278"/>
    <mergeCell ref="A558:B558"/>
    <mergeCell ref="A463:D463"/>
    <mergeCell ref="A434:F434"/>
    <mergeCell ref="A269:A273"/>
    <mergeCell ref="B278:C278"/>
    <mergeCell ref="A300:G300"/>
    <mergeCell ref="A507:A509"/>
    <mergeCell ref="E485:E486"/>
    <mergeCell ref="F485:F486"/>
    <mergeCell ref="I422:K422"/>
    <mergeCell ref="A511:C511"/>
    <mergeCell ref="A567:D567"/>
    <mergeCell ref="E558:F558"/>
    <mergeCell ref="C558:D558"/>
    <mergeCell ref="A532:F532"/>
    <mergeCell ref="A534:A548"/>
    <mergeCell ref="G522:H522"/>
    <mergeCell ref="A479:E479"/>
    <mergeCell ref="G485:G486"/>
    <mergeCell ref="A218:F218"/>
    <mergeCell ref="A285:G285"/>
    <mergeCell ref="I138:K138"/>
    <mergeCell ref="I303:K303"/>
    <mergeCell ref="I328:K328"/>
    <mergeCell ref="I408:K408"/>
    <mergeCell ref="I182:K182"/>
    <mergeCell ref="I221:K221"/>
    <mergeCell ref="A267:D267"/>
    <mergeCell ref="A279:C279"/>
    <mergeCell ref="N138:Q138"/>
    <mergeCell ref="M168:O168"/>
    <mergeCell ref="I168:K168"/>
    <mergeCell ref="Q168:S168"/>
    <mergeCell ref="U168:W168"/>
    <mergeCell ref="M289:O289"/>
    <mergeCell ref="I289:K289"/>
    <mergeCell ref="M408:O408"/>
    <mergeCell ref="I348:K348"/>
    <mergeCell ref="Q408:S408"/>
    <mergeCell ref="I378:J378"/>
    <mergeCell ref="K378:M378"/>
    <mergeCell ref="N378:O378"/>
    <mergeCell ref="I390:J390"/>
    <mergeCell ref="K390:M390"/>
    <mergeCell ref="N390:O390"/>
    <mergeCell ref="A557:E557"/>
    <mergeCell ref="A570:A576"/>
    <mergeCell ref="I436:K436"/>
    <mergeCell ref="A135:F135"/>
    <mergeCell ref="D136:F136"/>
    <mergeCell ref="A164:G164"/>
    <mergeCell ref="A179:G179"/>
    <mergeCell ref="A199:G199"/>
    <mergeCell ref="B273:C273"/>
    <mergeCell ref="A470:C470"/>
    <mergeCell ref="A553:A554"/>
    <mergeCell ref="B553:C553"/>
    <mergeCell ref="A93:H93"/>
    <mergeCell ref="A48:F48"/>
    <mergeCell ref="A591:G591"/>
    <mergeCell ref="A375:E375"/>
    <mergeCell ref="G389:L389"/>
    <mergeCell ref="A480:E480"/>
    <mergeCell ref="A521:E521"/>
    <mergeCell ref="A527:F527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58" r:id="rId2"/>
  <rowBreaks count="8" manualBreakCount="8">
    <brk id="42" max="8" man="1"/>
    <brk id="106" max="8" man="1"/>
    <brk id="161" max="8" man="1"/>
    <brk id="236" max="8" man="1"/>
    <brk id="313" max="8" man="1"/>
    <brk id="374" max="8" man="1"/>
    <brk id="446" max="8" man="1"/>
    <brk id="550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1:M35"/>
  <sheetViews>
    <sheetView zoomScalePageLayoutView="0" workbookViewId="0" topLeftCell="A13">
      <selection activeCell="G34" sqref="G34:G35"/>
    </sheetView>
  </sheetViews>
  <sheetFormatPr defaultColWidth="9.140625" defaultRowHeight="12.75"/>
  <cols>
    <col min="5" max="5" width="15.421875" style="0" customWidth="1"/>
    <col min="6" max="6" width="18.8515625" style="0" customWidth="1"/>
    <col min="7" max="7" width="16.00390625" style="0" customWidth="1"/>
    <col min="8" max="8" width="17.140625" style="0" customWidth="1"/>
  </cols>
  <sheetData>
    <row r="11" spans="3:8" ht="15.75">
      <c r="C11" s="665" t="s">
        <v>87</v>
      </c>
      <c r="D11" s="665" t="s">
        <v>181</v>
      </c>
      <c r="E11" s="666" t="s">
        <v>182</v>
      </c>
      <c r="F11" s="666"/>
      <c r="G11" s="666"/>
      <c r="H11" s="666"/>
    </row>
    <row r="12" spans="3:8" ht="31.5" customHeight="1">
      <c r="C12" s="665"/>
      <c r="D12" s="665"/>
      <c r="E12" s="666" t="s">
        <v>183</v>
      </c>
      <c r="F12" s="666"/>
      <c r="G12" s="666" t="s">
        <v>184</v>
      </c>
      <c r="H12" s="666"/>
    </row>
    <row r="13" spans="3:8" ht="15.75">
      <c r="C13" s="665"/>
      <c r="D13" s="665"/>
      <c r="E13" s="3" t="s">
        <v>185</v>
      </c>
      <c r="F13" s="3" t="s">
        <v>186</v>
      </c>
      <c r="G13" s="3" t="s">
        <v>185</v>
      </c>
      <c r="H13" s="3" t="s">
        <v>186</v>
      </c>
    </row>
    <row r="14" spans="3:8" ht="15.75">
      <c r="C14" s="3" t="s">
        <v>187</v>
      </c>
      <c r="D14" s="3" t="s">
        <v>188</v>
      </c>
      <c r="E14" s="3" t="s">
        <v>189</v>
      </c>
      <c r="F14" s="3" t="s">
        <v>190</v>
      </c>
      <c r="G14" s="3" t="s">
        <v>191</v>
      </c>
      <c r="H14" s="3" t="s">
        <v>192</v>
      </c>
    </row>
    <row r="15" spans="3:8" ht="15.75">
      <c r="C15" s="3" t="s">
        <v>193</v>
      </c>
      <c r="D15" s="3" t="s">
        <v>194</v>
      </c>
      <c r="E15" s="3" t="s">
        <v>195</v>
      </c>
      <c r="F15" s="3" t="s">
        <v>196</v>
      </c>
      <c r="G15" s="3" t="s">
        <v>197</v>
      </c>
      <c r="H15" s="3" t="s">
        <v>198</v>
      </c>
    </row>
    <row r="17" ht="12.75">
      <c r="C17" s="4" t="s">
        <v>199</v>
      </c>
    </row>
    <row r="18" spans="3:7" ht="12.75">
      <c r="C18" s="4" t="s">
        <v>200</v>
      </c>
      <c r="D18">
        <v>119000</v>
      </c>
      <c r="E18" s="6">
        <f>D18*215*2.8/100000</f>
        <v>716.38</v>
      </c>
      <c r="F18" s="6">
        <f>D18*215*0.31/100000</f>
        <v>79.3135</v>
      </c>
      <c r="G18" s="6">
        <f>SUM(E18:F18)</f>
        <v>795.6935</v>
      </c>
    </row>
    <row r="19" spans="3:7" ht="13.5" thickBot="1">
      <c r="C19" s="5" t="s">
        <v>201</v>
      </c>
      <c r="D19">
        <v>46000</v>
      </c>
      <c r="E19" s="6">
        <f>D19*220*4.19/100000</f>
        <v>424.0280000000001</v>
      </c>
      <c r="F19" s="6">
        <f>D19*220*0.46/100000</f>
        <v>46.552</v>
      </c>
      <c r="G19" s="6">
        <f>SUM(E19:F19)</f>
        <v>470.5800000000001</v>
      </c>
    </row>
    <row r="20" spans="7:13" ht="16.5" thickBot="1">
      <c r="G20" s="6">
        <f>SUM(G18:G19)</f>
        <v>1266.2735</v>
      </c>
      <c r="K20" s="7">
        <v>2.8</v>
      </c>
      <c r="L20" s="8">
        <v>0.31</v>
      </c>
      <c r="M20">
        <f>SUM(K20:L20)</f>
        <v>3.11</v>
      </c>
    </row>
    <row r="21" spans="11:13" ht="16.5" thickBot="1">
      <c r="K21" s="2">
        <v>4.19</v>
      </c>
      <c r="L21" s="1">
        <v>0.46</v>
      </c>
      <c r="M21">
        <f>SUM(K21:L21)</f>
        <v>4.65</v>
      </c>
    </row>
    <row r="22" ht="12.75">
      <c r="M22">
        <f>SUM(K22:L22)</f>
        <v>0</v>
      </c>
    </row>
    <row r="23" spans="11:13" ht="12.75">
      <c r="K23" s="6">
        <f>K20*7.5/100</f>
        <v>0.21</v>
      </c>
      <c r="L23" s="6">
        <f>L20*7.5/100</f>
        <v>0.023250000000000003</v>
      </c>
      <c r="M23">
        <f>SUM(K23:L23)</f>
        <v>0.23324999999999999</v>
      </c>
    </row>
    <row r="24" spans="4:13" ht="12.75">
      <c r="D24">
        <v>119000</v>
      </c>
      <c r="E24" s="6">
        <f>D24*215*3.01/100000</f>
        <v>770.1085</v>
      </c>
      <c r="F24" s="6">
        <f>D24*215*0.33/100000</f>
        <v>84.4305</v>
      </c>
      <c r="G24" s="6">
        <f>SUM(E24:F24)</f>
        <v>854.539</v>
      </c>
      <c r="K24" s="6">
        <f>K21*7.5/100</f>
        <v>0.31425000000000003</v>
      </c>
      <c r="L24" s="6">
        <f>L21*7.5/100</f>
        <v>0.0345</v>
      </c>
      <c r="M24">
        <f>SUM(K24:L24)</f>
        <v>0.34875</v>
      </c>
    </row>
    <row r="25" spans="4:7" ht="12.75">
      <c r="D25">
        <v>46000</v>
      </c>
      <c r="E25" s="6">
        <f>D25*220*4.5/100000</f>
        <v>455.4</v>
      </c>
      <c r="F25" s="6">
        <f>D25*220*0.5/100000</f>
        <v>50.6</v>
      </c>
      <c r="G25" s="6">
        <f>SUM(E25:F25)</f>
        <v>506</v>
      </c>
    </row>
    <row r="26" spans="5:13" ht="12.75">
      <c r="E26" s="6">
        <f>SUM(E24:E25)</f>
        <v>1225.5085</v>
      </c>
      <c r="F26" s="6">
        <f>SUM(F24:F25)</f>
        <v>135.0305</v>
      </c>
      <c r="G26" s="6">
        <f>SUM(G24:G25)</f>
        <v>1360.539</v>
      </c>
      <c r="K26" s="6">
        <f aca="true" t="shared" si="0" ref="K26:M27">K20+K23</f>
        <v>3.01</v>
      </c>
      <c r="L26" s="6">
        <f t="shared" si="0"/>
        <v>0.33325</v>
      </c>
      <c r="M26" s="6">
        <f t="shared" si="0"/>
        <v>3.34325</v>
      </c>
    </row>
    <row r="27" spans="11:13" ht="12.75">
      <c r="K27" s="6">
        <f t="shared" si="0"/>
        <v>4.504250000000001</v>
      </c>
      <c r="L27" s="6">
        <f t="shared" si="0"/>
        <v>0.49450000000000005</v>
      </c>
      <c r="M27" s="6">
        <f t="shared" si="0"/>
        <v>4.99875</v>
      </c>
    </row>
    <row r="33" ht="13.5" thickBot="1"/>
    <row r="34" spans="4:7" ht="13.5" thickBot="1">
      <c r="D34" s="9">
        <v>119000</v>
      </c>
      <c r="E34" s="10">
        <v>215</v>
      </c>
      <c r="F34" s="6">
        <f>E34*D34*0.0001</f>
        <v>2558.5</v>
      </c>
      <c r="G34" s="6">
        <f>F34*5650/100000</f>
        <v>144.55525</v>
      </c>
    </row>
    <row r="35" spans="4:7" ht="15.75" thickBot="1">
      <c r="D35" s="11">
        <v>46000</v>
      </c>
      <c r="E35" s="12">
        <v>220</v>
      </c>
      <c r="F35" s="6">
        <f>E35*D35*0.0001</f>
        <v>1012</v>
      </c>
      <c r="G35" s="6">
        <f>F35*5650/100000</f>
        <v>57.178</v>
      </c>
    </row>
  </sheetData>
  <sheetProtection/>
  <mergeCells count="5">
    <mergeCell ref="C11:C13"/>
    <mergeCell ref="D11:D13"/>
    <mergeCell ref="E11:H11"/>
    <mergeCell ref="E12:F12"/>
    <mergeCell ref="G12:H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s.k sinha</cp:lastModifiedBy>
  <cp:lastPrinted>2019-04-24T13:41:46Z</cp:lastPrinted>
  <dcterms:created xsi:type="dcterms:W3CDTF">2007-02-27T08:33:39Z</dcterms:created>
  <dcterms:modified xsi:type="dcterms:W3CDTF">2020-05-21T17:55:42Z</dcterms:modified>
  <cp:category/>
  <cp:version/>
  <cp:contentType/>
  <cp:contentStatus/>
</cp:coreProperties>
</file>